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geraldpike/Desktop/"/>
    </mc:Choice>
  </mc:AlternateContent>
  <xr:revisionPtr revIDLastSave="0" documentId="13_ncr:1_{B375EFD6-59B8-054C-8564-3E9DDDAB05D1}" xr6:coauthVersionLast="47" xr6:coauthVersionMax="47" xr10:uidLastSave="{00000000-0000-0000-0000-000000000000}"/>
  <bookViews>
    <workbookView xWindow="780" yWindow="500" windowWidth="24040" windowHeight="15600" xr2:uid="{82C54B5F-CE0C-6F42-8E28-72D09D8FDB53}"/>
  </bookViews>
  <sheets>
    <sheet name="Retirement Plan" sheetId="4" r:id="rId1"/>
    <sheet name="Sheet 1" sheetId="1" r:id="rId2"/>
    <sheet name="Sheet4" sheetId="6" r:id="rId3"/>
    <sheet name="Sheet3" sheetId="5" r:id="rId4"/>
    <sheet name="Sheet2" sheetId="2" r:id="rId5"/>
  </sheets>
  <definedNames>
    <definedName name="_xlnm.Print_Area" localSheetId="0">'Retirement Plan'!$A$1:$R$98</definedName>
    <definedName name="_xlnm.Print_Area" localSheetId="4">Sheet2!$A$1:$P$80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K12" i="1"/>
  <c r="L12" i="1" s="1"/>
  <c r="J12" i="1"/>
  <c r="G12" i="1"/>
  <c r="H12" i="1" s="1"/>
  <c r="I12" i="1" s="1"/>
  <c r="F12" i="1"/>
  <c r="C4" i="1"/>
  <c r="C5" i="1"/>
  <c r="C6" i="1"/>
  <c r="C7" i="1"/>
  <c r="C8" i="1"/>
  <c r="C9" i="1"/>
  <c r="C10" i="1"/>
  <c r="C11" i="1"/>
  <c r="C12" i="1"/>
  <c r="D70" i="1" l="1"/>
  <c r="E70" i="1" s="1"/>
  <c r="F70" i="1" s="1"/>
  <c r="G70" i="1" s="1"/>
  <c r="H70" i="1" s="1"/>
  <c r="I70" i="1" s="1"/>
  <c r="J70" i="1" s="1"/>
  <c r="K70" i="1" s="1"/>
  <c r="L70" i="1" s="1"/>
  <c r="M70" i="1" s="1"/>
  <c r="N71" i="1"/>
  <c r="O71" i="1"/>
  <c r="P71" i="1"/>
  <c r="Q71" i="1"/>
  <c r="R71" i="1"/>
  <c r="AI44" i="1"/>
  <c r="AJ44" i="1"/>
  <c r="AK44" i="1"/>
  <c r="AL44" i="1"/>
  <c r="AM44" i="1"/>
  <c r="AN44" i="1"/>
  <c r="AO44" i="1"/>
  <c r="AP44" i="1"/>
  <c r="AQ44" i="1"/>
  <c r="AR44" i="1"/>
  <c r="AS44" i="1"/>
  <c r="AT44" i="1"/>
  <c r="AU44" i="1"/>
  <c r="AI45" i="1"/>
  <c r="AJ45" i="1"/>
  <c r="AK45" i="1"/>
  <c r="AL45" i="1"/>
  <c r="AL47" i="1" s="1"/>
  <c r="AM45" i="1"/>
  <c r="AN45" i="1"/>
  <c r="AO45" i="1"/>
  <c r="AP45" i="1"/>
  <c r="AQ45" i="1"/>
  <c r="AR45" i="1"/>
  <c r="AS45" i="1"/>
  <c r="AT45" i="1"/>
  <c r="AT47" i="1" s="1"/>
  <c r="AU45" i="1"/>
  <c r="AI46" i="1"/>
  <c r="AJ46" i="1"/>
  <c r="AK46" i="1"/>
  <c r="AL46" i="1"/>
  <c r="AM46" i="1"/>
  <c r="AN46" i="1"/>
  <c r="AO46" i="1"/>
  <c r="AP46" i="1"/>
  <c r="AQ46" i="1"/>
  <c r="AR46" i="1"/>
  <c r="AS46" i="1"/>
  <c r="AT46" i="1"/>
  <c r="AU46" i="1"/>
  <c r="AU47" i="1"/>
  <c r="E16" i="6"/>
  <c r="F16" i="6"/>
  <c r="G16" i="6"/>
  <c r="H16" i="6"/>
  <c r="I16" i="6"/>
  <c r="J16" i="6"/>
  <c r="K16" i="6"/>
  <c r="L16" i="6"/>
  <c r="M16" i="6"/>
  <c r="N16" i="6"/>
  <c r="O16" i="6"/>
  <c r="P16" i="6"/>
  <c r="Q16" i="6"/>
  <c r="R16" i="6"/>
  <c r="S16" i="6"/>
  <c r="T16" i="6"/>
  <c r="U16" i="6"/>
  <c r="V16" i="6"/>
  <c r="W16" i="6"/>
  <c r="E17" i="6"/>
  <c r="F17" i="6"/>
  <c r="G17" i="6"/>
  <c r="H17" i="6"/>
  <c r="I17" i="6"/>
  <c r="J17" i="6"/>
  <c r="K17" i="6"/>
  <c r="L17" i="6"/>
  <c r="M17" i="6"/>
  <c r="N17" i="6"/>
  <c r="O17" i="6"/>
  <c r="P17" i="6"/>
  <c r="Q17" i="6"/>
  <c r="R17" i="6"/>
  <c r="S17" i="6"/>
  <c r="T17" i="6"/>
  <c r="E18" i="6"/>
  <c r="F18" i="6"/>
  <c r="G18" i="6"/>
  <c r="H18" i="6"/>
  <c r="I18" i="6"/>
  <c r="J18" i="6"/>
  <c r="K18" i="6"/>
  <c r="L18" i="6"/>
  <c r="D17" i="6"/>
  <c r="D18" i="6"/>
  <c r="D16" i="6"/>
  <c r="D14" i="6"/>
  <c r="E11" i="6" s="1"/>
  <c r="E13" i="6"/>
  <c r="F13" i="6" s="1"/>
  <c r="E12" i="6"/>
  <c r="F12" i="6" s="1"/>
  <c r="G12" i="6" s="1"/>
  <c r="H12" i="6" s="1"/>
  <c r="I12" i="6" s="1"/>
  <c r="J12" i="6" s="1"/>
  <c r="K12" i="6" s="1"/>
  <c r="L12" i="6" s="1"/>
  <c r="M12" i="6" s="1"/>
  <c r="N12" i="6" s="1"/>
  <c r="O12" i="6" s="1"/>
  <c r="P12" i="6" s="1"/>
  <c r="Q12" i="6" s="1"/>
  <c r="R12" i="6" s="1"/>
  <c r="S12" i="6" s="1"/>
  <c r="T12" i="6" s="1"/>
  <c r="U12" i="6" s="1"/>
  <c r="V12" i="6" s="1"/>
  <c r="W12" i="6" s="1"/>
  <c r="X12" i="6" s="1"/>
  <c r="Y12" i="6" s="1"/>
  <c r="Z12" i="6" s="1"/>
  <c r="E10" i="6"/>
  <c r="F10" i="6" s="1"/>
  <c r="G10" i="6" s="1"/>
  <c r="H10" i="6" s="1"/>
  <c r="I10" i="6" s="1"/>
  <c r="J10" i="6" s="1"/>
  <c r="K10" i="6" s="1"/>
  <c r="L10" i="6" s="1"/>
  <c r="M10" i="6" s="1"/>
  <c r="N10" i="6" s="1"/>
  <c r="O10" i="6" s="1"/>
  <c r="P10" i="6" s="1"/>
  <c r="Q10" i="6" s="1"/>
  <c r="R10" i="6" s="1"/>
  <c r="S10" i="6" s="1"/>
  <c r="T10" i="6" s="1"/>
  <c r="U10" i="6" s="1"/>
  <c r="V10" i="6" s="1"/>
  <c r="W10" i="6" s="1"/>
  <c r="X10" i="6" s="1"/>
  <c r="Y10" i="6" s="1"/>
  <c r="Z10" i="6" s="1"/>
  <c r="AA10" i="6" s="1"/>
  <c r="AB10" i="6" s="1"/>
  <c r="AC10" i="6" s="1"/>
  <c r="AD10" i="6" s="1"/>
  <c r="P4" i="6"/>
  <c r="P5" i="6"/>
  <c r="Q5" i="6"/>
  <c r="R5" i="6"/>
  <c r="S5" i="6"/>
  <c r="T5" i="6"/>
  <c r="U5" i="6" s="1"/>
  <c r="V5" i="6" s="1"/>
  <c r="W5" i="6" s="1"/>
  <c r="X5" i="6" s="1"/>
  <c r="Y5" i="6" s="1"/>
  <c r="Z5" i="6" s="1"/>
  <c r="P6" i="6"/>
  <c r="P7" i="6" s="1"/>
  <c r="Q4" i="6" s="1"/>
  <c r="Q6" i="6"/>
  <c r="R6" i="6" s="1"/>
  <c r="F4" i="6"/>
  <c r="F5" i="6"/>
  <c r="G5" i="6" s="1"/>
  <c r="H5" i="6" s="1"/>
  <c r="I5" i="6" s="1"/>
  <c r="J5" i="6" s="1"/>
  <c r="K5" i="6" s="1"/>
  <c r="L5" i="6" s="1"/>
  <c r="M5" i="6" s="1"/>
  <c r="N5" i="6" s="1"/>
  <c r="O5" i="6" s="1"/>
  <c r="F6" i="6"/>
  <c r="F7" i="6" s="1"/>
  <c r="G4" i="6" s="1"/>
  <c r="G6" i="6"/>
  <c r="H6" i="6" s="1"/>
  <c r="E4" i="6"/>
  <c r="E7" i="6"/>
  <c r="E6" i="6"/>
  <c r="E5" i="6"/>
  <c r="D7" i="6"/>
  <c r="E3" i="6"/>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CG37" i="5"/>
  <c r="CH37" i="5" s="1"/>
  <c r="CI37" i="5" s="1"/>
  <c r="CJ37" i="5" s="1"/>
  <c r="CK37" i="5" s="1"/>
  <c r="CL37" i="5" s="1"/>
  <c r="CM37" i="5" s="1"/>
  <c r="CN37" i="5" s="1"/>
  <c r="CO37" i="5" s="1"/>
  <c r="CP37" i="5" s="1"/>
  <c r="CQ37" i="5" s="1"/>
  <c r="CR37" i="5" s="1"/>
  <c r="CS37" i="5" s="1"/>
  <c r="CT37" i="5" s="1"/>
  <c r="CU37" i="5" s="1"/>
  <c r="CV37" i="5" s="1"/>
  <c r="CW37" i="5" s="1"/>
  <c r="CX37" i="5" s="1"/>
  <c r="CY37" i="5" s="1"/>
  <c r="CZ37" i="5" s="1"/>
  <c r="DA37" i="5" s="1"/>
  <c r="DB37" i="5" s="1"/>
  <c r="DC37" i="5" s="1"/>
  <c r="DD37" i="5" s="1"/>
  <c r="CG39" i="5"/>
  <c r="CH39" i="5" s="1"/>
  <c r="CG41" i="5"/>
  <c r="CH41" i="5" s="1"/>
  <c r="P37" i="5"/>
  <c r="Q37" i="5" s="1"/>
  <c r="R37" i="5" s="1"/>
  <c r="S37" i="5" s="1"/>
  <c r="T37" i="5" s="1"/>
  <c r="U37" i="5" s="1"/>
  <c r="V37" i="5" s="1"/>
  <c r="W37" i="5" s="1"/>
  <c r="X37" i="5" s="1"/>
  <c r="Y37" i="5" s="1"/>
  <c r="Z37" i="5" s="1"/>
  <c r="AA37" i="5" s="1"/>
  <c r="AB37" i="5" s="1"/>
  <c r="AC37" i="5" s="1"/>
  <c r="AD37" i="5" s="1"/>
  <c r="AE37" i="5" s="1"/>
  <c r="AF37" i="5" s="1"/>
  <c r="AG37" i="5" s="1"/>
  <c r="AH37" i="5" s="1"/>
  <c r="AI37" i="5" s="1"/>
  <c r="AJ37" i="5" s="1"/>
  <c r="AK37" i="5" s="1"/>
  <c r="AL37" i="5" s="1"/>
  <c r="AM37" i="5" s="1"/>
  <c r="AN37" i="5" s="1"/>
  <c r="AO37" i="5" s="1"/>
  <c r="AP37" i="5" s="1"/>
  <c r="AQ37" i="5" s="1"/>
  <c r="AR37" i="5" s="1"/>
  <c r="AS37" i="5" s="1"/>
  <c r="AT37" i="5" s="1"/>
  <c r="AU37" i="5" s="1"/>
  <c r="AV37" i="5" s="1"/>
  <c r="AW37" i="5" s="1"/>
  <c r="AX37" i="5" s="1"/>
  <c r="AY37" i="5" s="1"/>
  <c r="AZ37" i="5" s="1"/>
  <c r="BA37" i="5" s="1"/>
  <c r="BB37" i="5" s="1"/>
  <c r="BC37" i="5" s="1"/>
  <c r="BD37" i="5" s="1"/>
  <c r="BE37" i="5" s="1"/>
  <c r="BF37" i="5" s="1"/>
  <c r="BG37" i="5" s="1"/>
  <c r="BH37" i="5" s="1"/>
  <c r="BI37" i="5" s="1"/>
  <c r="BJ37" i="5" s="1"/>
  <c r="BK37" i="5" s="1"/>
  <c r="BL37" i="5" s="1"/>
  <c r="BM37" i="5" s="1"/>
  <c r="BN37" i="5" s="1"/>
  <c r="BO37" i="5" s="1"/>
  <c r="BP37" i="5" s="1"/>
  <c r="BQ37" i="5" s="1"/>
  <c r="BR37" i="5" s="1"/>
  <c r="BS37" i="5" s="1"/>
  <c r="BT37" i="5" s="1"/>
  <c r="BU37" i="5" s="1"/>
  <c r="BV37" i="5" s="1"/>
  <c r="BW37" i="5" s="1"/>
  <c r="BX37" i="5" s="1"/>
  <c r="BY37" i="5" s="1"/>
  <c r="BZ37" i="5" s="1"/>
  <c r="CA37" i="5" s="1"/>
  <c r="CB37" i="5" s="1"/>
  <c r="CC37" i="5" s="1"/>
  <c r="CD37" i="5" s="1"/>
  <c r="CE37" i="5" s="1"/>
  <c r="CF37" i="5" s="1"/>
  <c r="O37" i="5"/>
  <c r="BM39" i="5"/>
  <c r="BN39" i="5" s="1"/>
  <c r="BM41" i="5"/>
  <c r="BN41" i="5" s="1"/>
  <c r="BK39" i="5"/>
  <c r="BL39" i="5" s="1"/>
  <c r="BK41" i="5"/>
  <c r="BL41" i="5"/>
  <c r="BJ39" i="5"/>
  <c r="BJ41" i="5"/>
  <c r="AY39" i="5"/>
  <c r="AZ39" i="5"/>
  <c r="BA39" i="5"/>
  <c r="BB39" i="5"/>
  <c r="BC39" i="5"/>
  <c r="BD39" i="5" s="1"/>
  <c r="AY41" i="5"/>
  <c r="AZ41" i="5" s="1"/>
  <c r="N43" i="5"/>
  <c r="N45" i="5" s="1"/>
  <c r="O41" i="5"/>
  <c r="P41" i="5" s="1"/>
  <c r="Q41" i="5" s="1"/>
  <c r="N40" i="5"/>
  <c r="O39" i="5"/>
  <c r="P39" i="5" s="1"/>
  <c r="O42" i="5"/>
  <c r="P42" i="5" s="1"/>
  <c r="Q42" i="5" s="1"/>
  <c r="R42" i="5" s="1"/>
  <c r="S42" i="5" s="1"/>
  <c r="T42" i="5" s="1"/>
  <c r="U42" i="5" s="1"/>
  <c r="V42" i="5" s="1"/>
  <c r="W42" i="5" s="1"/>
  <c r="X42" i="5" s="1"/>
  <c r="Y42" i="5" s="1"/>
  <c r="Z42" i="5" s="1"/>
  <c r="AA42" i="5" s="1"/>
  <c r="AB42" i="5" s="1"/>
  <c r="AC42" i="5" s="1"/>
  <c r="AD42" i="5" s="1"/>
  <c r="AE42" i="5" s="1"/>
  <c r="AF42" i="5" s="1"/>
  <c r="AG42" i="5" s="1"/>
  <c r="AH42" i="5" s="1"/>
  <c r="AI42" i="5" s="1"/>
  <c r="AJ42" i="5" s="1"/>
  <c r="AK42" i="5" s="1"/>
  <c r="AL42" i="5" s="1"/>
  <c r="AM42" i="5" s="1"/>
  <c r="AN42" i="5" s="1"/>
  <c r="AO42" i="5" s="1"/>
  <c r="AP42" i="5" s="1"/>
  <c r="AQ42" i="5" s="1"/>
  <c r="AR42" i="5" s="1"/>
  <c r="AS42" i="5" s="1"/>
  <c r="AT42" i="5" s="1"/>
  <c r="AU42" i="5" s="1"/>
  <c r="AV42" i="5" s="1"/>
  <c r="AW42" i="5" s="1"/>
  <c r="AX42" i="5" s="1"/>
  <c r="AY42" i="5" s="1"/>
  <c r="N42" i="5"/>
  <c r="D21" i="5"/>
  <c r="N24" i="5"/>
  <c r="O24" i="5"/>
  <c r="P24" i="5" s="1"/>
  <c r="Q24" i="5" s="1"/>
  <c r="R24" i="5" s="1"/>
  <c r="S24" i="5" s="1"/>
  <c r="T24" i="5" s="1"/>
  <c r="U24" i="5" s="1"/>
  <c r="V24" i="5" s="1"/>
  <c r="W24" i="5" s="1"/>
  <c r="X24" i="5" s="1"/>
  <c r="Y24" i="5" s="1"/>
  <c r="Z24" i="5" s="1"/>
  <c r="AA24" i="5" s="1"/>
  <c r="AB24" i="5" s="1"/>
  <c r="AC24" i="5" s="1"/>
  <c r="AD24" i="5" s="1"/>
  <c r="AE24" i="5" s="1"/>
  <c r="AF24" i="5" s="1"/>
  <c r="AG24" i="5" s="1"/>
  <c r="AH24" i="5" s="1"/>
  <c r="AI24" i="5" s="1"/>
  <c r="AJ24" i="5" s="1"/>
  <c r="AK24" i="5" s="1"/>
  <c r="AL24" i="5" s="1"/>
  <c r="AM24" i="5" s="1"/>
  <c r="AN24" i="5" s="1"/>
  <c r="AO24" i="5" s="1"/>
  <c r="AP24" i="5" s="1"/>
  <c r="AQ24" i="5" s="1"/>
  <c r="AR24" i="5" s="1"/>
  <c r="AS24" i="5" s="1"/>
  <c r="AT24" i="5" s="1"/>
  <c r="AU24" i="5" s="1"/>
  <c r="AV24" i="5" s="1"/>
  <c r="AW24" i="5" s="1"/>
  <c r="AX24" i="5" s="1"/>
  <c r="AY24" i="5" s="1"/>
  <c r="AZ24" i="5" s="1"/>
  <c r="BA24" i="5" s="1"/>
  <c r="BB24" i="5" s="1"/>
  <c r="BC24" i="5" s="1"/>
  <c r="BD24" i="5" s="1"/>
  <c r="BE24" i="5" s="1"/>
  <c r="BF24" i="5" s="1"/>
  <c r="BG24" i="5" s="1"/>
  <c r="BH24" i="5" s="1"/>
  <c r="BI24" i="5" s="1"/>
  <c r="BJ24" i="5" s="1"/>
  <c r="BK24" i="5" s="1"/>
  <c r="BL24" i="5" s="1"/>
  <c r="BM24" i="5" s="1"/>
  <c r="BN24" i="5" s="1"/>
  <c r="BO24" i="5" s="1"/>
  <c r="BP24" i="5" s="1"/>
  <c r="BQ24" i="5" s="1"/>
  <c r="BR24" i="5" s="1"/>
  <c r="BS24" i="5" s="1"/>
  <c r="BT24" i="5" s="1"/>
  <c r="BU24" i="5" s="1"/>
  <c r="AR47" i="1" l="1"/>
  <c r="AJ47" i="1"/>
  <c r="AN47" i="1"/>
  <c r="AO47" i="1"/>
  <c r="AM47" i="1"/>
  <c r="AS47" i="1"/>
  <c r="AK47" i="1"/>
  <c r="AQ47" i="1"/>
  <c r="AI47" i="1"/>
  <c r="AP47" i="1"/>
  <c r="G13" i="6"/>
  <c r="E14" i="6"/>
  <c r="F11" i="6" s="1"/>
  <c r="F14" i="6" s="1"/>
  <c r="G11" i="6" s="1"/>
  <c r="S6" i="6"/>
  <c r="Q7" i="6"/>
  <c r="R4" i="6" s="1"/>
  <c r="R7" i="6" s="1"/>
  <c r="S4" i="6" s="1"/>
  <c r="I6" i="6"/>
  <c r="G7" i="6"/>
  <c r="H4" i="6" s="1"/>
  <c r="H7" i="6" s="1"/>
  <c r="I4" i="6" s="1"/>
  <c r="CI41" i="5"/>
  <c r="CI39" i="5"/>
  <c r="O38" i="5"/>
  <c r="O40" i="5" s="1"/>
  <c r="N36" i="5"/>
  <c r="BO41" i="5"/>
  <c r="BO39" i="5"/>
  <c r="BA41" i="5"/>
  <c r="BE39" i="5"/>
  <c r="AZ42" i="5"/>
  <c r="BA42" i="5" s="1"/>
  <c r="BB42" i="5" s="1"/>
  <c r="BC42" i="5" s="1"/>
  <c r="BD42" i="5" s="1"/>
  <c r="BE42" i="5" s="1"/>
  <c r="BF42" i="5" s="1"/>
  <c r="BG42" i="5" s="1"/>
  <c r="BH42" i="5" s="1"/>
  <c r="BI42" i="5" s="1"/>
  <c r="BJ42" i="5" s="1"/>
  <c r="BK42" i="5" s="1"/>
  <c r="BL42" i="5" s="1"/>
  <c r="BM42" i="5" s="1"/>
  <c r="BN42" i="5" s="1"/>
  <c r="BO42" i="5" s="1"/>
  <c r="BP42" i="5" s="1"/>
  <c r="BQ42" i="5" s="1"/>
  <c r="BR42" i="5" s="1"/>
  <c r="BS42" i="5" s="1"/>
  <c r="BT42" i="5" s="1"/>
  <c r="BU42" i="5" s="1"/>
  <c r="BV42" i="5" s="1"/>
  <c r="BW42" i="5" s="1"/>
  <c r="BX42" i="5" s="1"/>
  <c r="BY42" i="5" s="1"/>
  <c r="BZ42" i="5" s="1"/>
  <c r="CA42" i="5" s="1"/>
  <c r="CB42" i="5" s="1"/>
  <c r="CC42" i="5" s="1"/>
  <c r="CD42" i="5" s="1"/>
  <c r="CE42" i="5" s="1"/>
  <c r="CF42" i="5" s="1"/>
  <c r="CG42" i="5" s="1"/>
  <c r="CH42" i="5" s="1"/>
  <c r="CI42" i="5" s="1"/>
  <c r="CJ42" i="5" s="1"/>
  <c r="CK42" i="5" s="1"/>
  <c r="CL42" i="5" s="1"/>
  <c r="CM42" i="5" s="1"/>
  <c r="CN42" i="5" s="1"/>
  <c r="CO42" i="5" s="1"/>
  <c r="CP42" i="5" s="1"/>
  <c r="CQ42" i="5" s="1"/>
  <c r="CR42" i="5" s="1"/>
  <c r="CS42" i="5" s="1"/>
  <c r="CT42" i="5" s="1"/>
  <c r="CU42" i="5" s="1"/>
  <c r="CV42" i="5" s="1"/>
  <c r="CW42" i="5" s="1"/>
  <c r="CX42" i="5" s="1"/>
  <c r="CY42" i="5" s="1"/>
  <c r="CZ42" i="5" s="1"/>
  <c r="DA42" i="5" s="1"/>
  <c r="DB42" i="5" s="1"/>
  <c r="DC42" i="5" s="1"/>
  <c r="DD42" i="5" s="1"/>
  <c r="Q39" i="5"/>
  <c r="R41" i="5"/>
  <c r="S41" i="5" s="1"/>
  <c r="T41" i="5" s="1"/>
  <c r="C21" i="5"/>
  <c r="B23" i="5"/>
  <c r="C23" i="5"/>
  <c r="C25" i="5"/>
  <c r="C27" i="5"/>
  <c r="C29" i="5"/>
  <c r="C31" i="5"/>
  <c r="C33" i="5"/>
  <c r="C35" i="5"/>
  <c r="C37" i="5"/>
  <c r="B19" i="5"/>
  <c r="I23" i="5"/>
  <c r="I25" i="5" s="1"/>
  <c r="B25" i="5" s="1"/>
  <c r="H7" i="5"/>
  <c r="P13" i="5"/>
  <c r="P12" i="5"/>
  <c r="P11" i="5"/>
  <c r="P10" i="5"/>
  <c r="P9" i="5"/>
  <c r="P8" i="5"/>
  <c r="M16" i="5"/>
  <c r="M7" i="5"/>
  <c r="M15" i="5" s="1"/>
  <c r="M17" i="5" s="1"/>
  <c r="M19" i="5" s="1"/>
  <c r="H8" i="5"/>
  <c r="M8" i="5" s="1"/>
  <c r="H9" i="5"/>
  <c r="M9" i="5" s="1"/>
  <c r="H10" i="5"/>
  <c r="M10" i="5" s="1"/>
  <c r="H11" i="5"/>
  <c r="M11" i="5" s="1"/>
  <c r="H12" i="5"/>
  <c r="M12" i="5" s="1"/>
  <c r="H13" i="5"/>
  <c r="M13" i="5" s="1"/>
  <c r="I9" i="5"/>
  <c r="I10" i="5"/>
  <c r="I11" i="5"/>
  <c r="I12" i="5"/>
  <c r="I13" i="5"/>
  <c r="I8" i="5"/>
  <c r="G14" i="6" l="1"/>
  <c r="H11" i="6" s="1"/>
  <c r="H13" i="6"/>
  <c r="T6" i="6"/>
  <c r="S7" i="6"/>
  <c r="T4" i="6" s="1"/>
  <c r="J6" i="6"/>
  <c r="I7" i="6"/>
  <c r="J4" i="6" s="1"/>
  <c r="CJ41" i="5"/>
  <c r="CJ39" i="5"/>
  <c r="O43" i="5"/>
  <c r="P38" i="5" s="1"/>
  <c r="BP39" i="5"/>
  <c r="BP41" i="5"/>
  <c r="BF39" i="5"/>
  <c r="BB41" i="5"/>
  <c r="R39" i="5"/>
  <c r="U41" i="5"/>
  <c r="V41" i="5" s="1"/>
  <c r="N28" i="5"/>
  <c r="I21" i="5"/>
  <c r="B21" i="5" s="1"/>
  <c r="I13" i="6" l="1"/>
  <c r="H14" i="6"/>
  <c r="I11" i="6" s="1"/>
  <c r="T7" i="6"/>
  <c r="U4" i="6" s="1"/>
  <c r="U6" i="6"/>
  <c r="J7" i="6"/>
  <c r="K4" i="6" s="1"/>
  <c r="K6" i="6"/>
  <c r="CK39" i="5"/>
  <c r="CK41" i="5"/>
  <c r="P40" i="5"/>
  <c r="P43" i="5"/>
  <c r="Q38" i="5" s="1"/>
  <c r="Q43" i="5" s="1"/>
  <c r="O36" i="5"/>
  <c r="BQ39" i="5"/>
  <c r="BQ41" i="5"/>
  <c r="BC41" i="5"/>
  <c r="BG39" i="5"/>
  <c r="S39" i="5"/>
  <c r="W41" i="5"/>
  <c r="O28" i="5"/>
  <c r="P28" i="5" s="1"/>
  <c r="Q28" i="5" s="1"/>
  <c r="R28" i="5" s="1"/>
  <c r="S28" i="5" s="1"/>
  <c r="T28" i="5" s="1"/>
  <c r="U28" i="5" s="1"/>
  <c r="V28" i="5" s="1"/>
  <c r="W28" i="5" s="1"/>
  <c r="X28" i="5" s="1"/>
  <c r="Y28" i="5" s="1"/>
  <c r="Z28" i="5" s="1"/>
  <c r="AA28" i="5" s="1"/>
  <c r="AB28" i="5" s="1"/>
  <c r="AC28" i="5" s="1"/>
  <c r="AD28" i="5" s="1"/>
  <c r="AE28" i="5" s="1"/>
  <c r="AF28" i="5" s="1"/>
  <c r="AG28" i="5" s="1"/>
  <c r="AH28" i="5" s="1"/>
  <c r="AI28" i="5" s="1"/>
  <c r="AJ28" i="5" s="1"/>
  <c r="AK28" i="5" s="1"/>
  <c r="AL28" i="5" s="1"/>
  <c r="AM28" i="5" s="1"/>
  <c r="AN28" i="5" s="1"/>
  <c r="AO28" i="5" s="1"/>
  <c r="AP28" i="5" s="1"/>
  <c r="AQ28" i="5" s="1"/>
  <c r="AR28" i="5" s="1"/>
  <c r="AS28" i="5" s="1"/>
  <c r="AT28" i="5" s="1"/>
  <c r="AU28" i="5" s="1"/>
  <c r="AV28" i="5" s="1"/>
  <c r="AW28" i="5" s="1"/>
  <c r="AX28" i="5" s="1"/>
  <c r="AY28" i="5" s="1"/>
  <c r="AZ28" i="5" s="1"/>
  <c r="BA28" i="5" s="1"/>
  <c r="BB28" i="5" s="1"/>
  <c r="BC28" i="5" s="1"/>
  <c r="BD28" i="5" s="1"/>
  <c r="BE28" i="5" s="1"/>
  <c r="BF28" i="5" s="1"/>
  <c r="BG28" i="5" s="1"/>
  <c r="BH28" i="5" s="1"/>
  <c r="BI28" i="5" s="1"/>
  <c r="BJ28" i="5" s="1"/>
  <c r="BK28" i="5" s="1"/>
  <c r="BL28" i="5" s="1"/>
  <c r="BM28" i="5" s="1"/>
  <c r="BN28" i="5" s="1"/>
  <c r="BO28" i="5" s="1"/>
  <c r="BP28" i="5" s="1"/>
  <c r="BQ28" i="5" s="1"/>
  <c r="BR28" i="5" s="1"/>
  <c r="BS28" i="5" s="1"/>
  <c r="BT28" i="5" s="1"/>
  <c r="BU28" i="5" s="1"/>
  <c r="I29" i="5"/>
  <c r="I31" i="5" s="1"/>
  <c r="I33" i="5" s="1"/>
  <c r="I27" i="5"/>
  <c r="I14" i="6" l="1"/>
  <c r="J11" i="6" s="1"/>
  <c r="J13" i="6"/>
  <c r="U7" i="6"/>
  <c r="V4" i="6" s="1"/>
  <c r="V6" i="6"/>
  <c r="K7" i="6"/>
  <c r="L4" i="6" s="1"/>
  <c r="L6" i="6"/>
  <c r="CL41" i="5"/>
  <c r="CL39" i="5"/>
  <c r="P36" i="5"/>
  <c r="Q40" i="5"/>
  <c r="R38" i="5"/>
  <c r="Q36" i="5"/>
  <c r="BR41" i="5"/>
  <c r="BR39" i="5"/>
  <c r="BH39" i="5"/>
  <c r="BD41" i="5"/>
  <c r="X41" i="5"/>
  <c r="T39" i="5"/>
  <c r="B27" i="5"/>
  <c r="J14" i="6" l="1"/>
  <c r="K11" i="6" s="1"/>
  <c r="K13" i="6"/>
  <c r="W6" i="6"/>
  <c r="V7" i="6"/>
  <c r="W4" i="6" s="1"/>
  <c r="M6" i="6"/>
  <c r="L7" i="6"/>
  <c r="M4" i="6" s="1"/>
  <c r="CM39" i="5"/>
  <c r="CM41" i="5"/>
  <c r="R43" i="5"/>
  <c r="R40" i="5"/>
  <c r="BS39" i="5"/>
  <c r="BS41" i="5"/>
  <c r="BE41" i="5"/>
  <c r="BI39" i="5"/>
  <c r="U39" i="5"/>
  <c r="Y41" i="5"/>
  <c r="B31" i="5"/>
  <c r="T16" i="5"/>
  <c r="B29" i="5"/>
  <c r="K14" i="6" l="1"/>
  <c r="L11" i="6" s="1"/>
  <c r="L13" i="6"/>
  <c r="W7" i="6"/>
  <c r="X4" i="6" s="1"/>
  <c r="X6" i="6"/>
  <c r="N6" i="6"/>
  <c r="M7" i="6"/>
  <c r="N4" i="6" s="1"/>
  <c r="CN41" i="5"/>
  <c r="CN39" i="5"/>
  <c r="S38" i="5"/>
  <c r="R36" i="5"/>
  <c r="BT41" i="5"/>
  <c r="BT39" i="5"/>
  <c r="BF41" i="5"/>
  <c r="Z41" i="5"/>
  <c r="V39" i="5"/>
  <c r="N26" i="5"/>
  <c r="O26" i="5" s="1"/>
  <c r="P26" i="5" s="1"/>
  <c r="B33" i="5"/>
  <c r="I35" i="5"/>
  <c r="O8" i="5"/>
  <c r="T8" i="5" s="1"/>
  <c r="O9" i="5"/>
  <c r="T9" i="5" s="1"/>
  <c r="O10" i="5"/>
  <c r="T10" i="5" s="1"/>
  <c r="O7" i="5"/>
  <c r="T7" i="5" s="1"/>
  <c r="O12" i="5"/>
  <c r="T12" i="5" s="1"/>
  <c r="O13" i="5"/>
  <c r="T13" i="5" s="1"/>
  <c r="O11" i="5"/>
  <c r="T11" i="5" s="1"/>
  <c r="M13" i="6" l="1"/>
  <c r="L14" i="6"/>
  <c r="M11" i="6" s="1"/>
  <c r="Y6" i="6"/>
  <c r="X7" i="6"/>
  <c r="Y4" i="6" s="1"/>
  <c r="O6" i="6"/>
  <c r="N7" i="6"/>
  <c r="O4" i="6" s="1"/>
  <c r="CO39" i="5"/>
  <c r="CO41" i="5"/>
  <c r="S43" i="5"/>
  <c r="S40" i="5"/>
  <c r="BU39" i="5"/>
  <c r="BU41" i="5"/>
  <c r="BG41" i="5"/>
  <c r="W39" i="5"/>
  <c r="AA41" i="5"/>
  <c r="N25" i="5"/>
  <c r="N27" i="5" s="1"/>
  <c r="N29" i="5" s="1"/>
  <c r="N30" i="5" s="1"/>
  <c r="O25" i="5" s="1"/>
  <c r="O27" i="5" s="1"/>
  <c r="O29" i="5" s="1"/>
  <c r="O30" i="5" s="1"/>
  <c r="P25" i="5" s="1"/>
  <c r="P27" i="5" s="1"/>
  <c r="P29" i="5" s="1"/>
  <c r="P30" i="5" s="1"/>
  <c r="Q25" i="5" s="1"/>
  <c r="B35" i="5"/>
  <c r="I37" i="5"/>
  <c r="T15" i="5"/>
  <c r="T17" i="5" s="1"/>
  <c r="Q26" i="5"/>
  <c r="R26" i="5" s="1"/>
  <c r="S26" i="5" s="1"/>
  <c r="T26" i="5" s="1"/>
  <c r="U26" i="5" s="1"/>
  <c r="V26" i="5" s="1"/>
  <c r="W26" i="5" s="1"/>
  <c r="X26" i="5" s="1"/>
  <c r="Y26" i="5" s="1"/>
  <c r="Z26" i="5" s="1"/>
  <c r="AA26" i="5" s="1"/>
  <c r="AB26" i="5" s="1"/>
  <c r="AC26" i="5" s="1"/>
  <c r="AD26" i="5" s="1"/>
  <c r="AE26" i="5" s="1"/>
  <c r="AF26" i="5" s="1"/>
  <c r="AG26" i="5" s="1"/>
  <c r="AH26" i="5" s="1"/>
  <c r="AI26" i="5" s="1"/>
  <c r="AJ26" i="5" s="1"/>
  <c r="AK26" i="5" s="1"/>
  <c r="AL26" i="5" s="1"/>
  <c r="AM26" i="5" s="1"/>
  <c r="AN26" i="5" s="1"/>
  <c r="AO26" i="5" s="1"/>
  <c r="AP26" i="5" s="1"/>
  <c r="AQ26" i="5" s="1"/>
  <c r="AR26" i="5" s="1"/>
  <c r="AS26" i="5" s="1"/>
  <c r="AT26" i="5" s="1"/>
  <c r="AU26" i="5" s="1"/>
  <c r="AV26" i="5" s="1"/>
  <c r="AW26" i="5" s="1"/>
  <c r="AX26" i="5" s="1"/>
  <c r="AY26" i="5" s="1"/>
  <c r="AZ26" i="5" s="1"/>
  <c r="BA26" i="5" s="1"/>
  <c r="BB26" i="5" s="1"/>
  <c r="BC26" i="5" s="1"/>
  <c r="BD26" i="5" s="1"/>
  <c r="BE26" i="5" s="1"/>
  <c r="BF26" i="5" s="1"/>
  <c r="BG26" i="5" s="1"/>
  <c r="BH26" i="5" s="1"/>
  <c r="BI26" i="5" s="1"/>
  <c r="BJ26" i="5" s="1"/>
  <c r="BK26" i="5" s="1"/>
  <c r="BL26" i="5" s="1"/>
  <c r="BM26" i="5" s="1"/>
  <c r="BN26" i="5" s="1"/>
  <c r="BO26" i="5" s="1"/>
  <c r="BP26" i="5" s="1"/>
  <c r="BQ26" i="5" s="1"/>
  <c r="BR26" i="5" s="1"/>
  <c r="BS26" i="5" s="1"/>
  <c r="BT26" i="5" s="1"/>
  <c r="BU26" i="5" s="1"/>
  <c r="N13" i="6" l="1"/>
  <c r="M14" i="6"/>
  <c r="N11" i="6" s="1"/>
  <c r="Z6" i="6"/>
  <c r="Y7" i="6"/>
  <c r="Z4" i="6" s="1"/>
  <c r="O7" i="6"/>
  <c r="CP41" i="5"/>
  <c r="CP39" i="5"/>
  <c r="T38" i="5"/>
  <c r="S36" i="5"/>
  <c r="BV41" i="5"/>
  <c r="BV39" i="5"/>
  <c r="BH41" i="5"/>
  <c r="AB41" i="5"/>
  <c r="X39" i="5"/>
  <c r="B37" i="5"/>
  <c r="B39" i="5" s="1"/>
  <c r="I40" i="5"/>
  <c r="Q27" i="5"/>
  <c r="Q29" i="5" s="1"/>
  <c r="Q30" i="5" s="1"/>
  <c r="R25" i="5" s="1"/>
  <c r="R27" i="5" s="1"/>
  <c r="R29" i="5" s="1"/>
  <c r="R30" i="5" s="1"/>
  <c r="S25" i="5" s="1"/>
  <c r="S27" i="5" s="1"/>
  <c r="S29" i="5" s="1"/>
  <c r="S30" i="5" s="1"/>
  <c r="T25" i="5" s="1"/>
  <c r="T27" i="5" s="1"/>
  <c r="T29" i="5" s="1"/>
  <c r="T30" i="5" s="1"/>
  <c r="U25" i="5" s="1"/>
  <c r="U27" i="5" s="1"/>
  <c r="U29" i="5" s="1"/>
  <c r="U30" i="5" s="1"/>
  <c r="V25" i="5" s="1"/>
  <c r="V27" i="5" s="1"/>
  <c r="V29" i="5" s="1"/>
  <c r="V30" i="5" s="1"/>
  <c r="W25" i="5" s="1"/>
  <c r="W27" i="5" s="1"/>
  <c r="W29" i="5" s="1"/>
  <c r="W30" i="5" s="1"/>
  <c r="X25" i="5" s="1"/>
  <c r="X27" i="5" s="1"/>
  <c r="X29" i="5" s="1"/>
  <c r="X30" i="5" s="1"/>
  <c r="Y25" i="5" s="1"/>
  <c r="Y27" i="5" s="1"/>
  <c r="Y29" i="5" s="1"/>
  <c r="Y30" i="5" s="1"/>
  <c r="Z25" i="5" s="1"/>
  <c r="Z27" i="5" s="1"/>
  <c r="Z29" i="5" s="1"/>
  <c r="Z30" i="5" s="1"/>
  <c r="AA25" i="5" s="1"/>
  <c r="AA27" i="5" s="1"/>
  <c r="AA29" i="5" s="1"/>
  <c r="AA30" i="5" s="1"/>
  <c r="AB25" i="5" s="1"/>
  <c r="AB27" i="5" s="1"/>
  <c r="AB29" i="5" s="1"/>
  <c r="AB30" i="5" s="1"/>
  <c r="AC25" i="5" s="1"/>
  <c r="AC27" i="5" s="1"/>
  <c r="AC29" i="5" s="1"/>
  <c r="AC30" i="5" s="1"/>
  <c r="AD25" i="5" s="1"/>
  <c r="AD27" i="5" s="1"/>
  <c r="AD29" i="5" s="1"/>
  <c r="AD30" i="5" s="1"/>
  <c r="AE25" i="5" s="1"/>
  <c r="AE27" i="5" s="1"/>
  <c r="AE29" i="5" s="1"/>
  <c r="AE30" i="5" s="1"/>
  <c r="AF25" i="5" s="1"/>
  <c r="AF27" i="5" s="1"/>
  <c r="AF29" i="5" s="1"/>
  <c r="AF30" i="5" s="1"/>
  <c r="AG25" i="5" s="1"/>
  <c r="AG27" i="5" s="1"/>
  <c r="AG29" i="5" s="1"/>
  <c r="AG30" i="5" s="1"/>
  <c r="AH25" i="5" s="1"/>
  <c r="AH27" i="5" s="1"/>
  <c r="AH29" i="5" s="1"/>
  <c r="AH30" i="5" s="1"/>
  <c r="AI25" i="5" s="1"/>
  <c r="AI27" i="5" s="1"/>
  <c r="AI29" i="5" s="1"/>
  <c r="AI30" i="5" s="1"/>
  <c r="AJ25" i="5" s="1"/>
  <c r="AJ27" i="5" s="1"/>
  <c r="AJ29" i="5" s="1"/>
  <c r="AJ30" i="5" s="1"/>
  <c r="AK25" i="5" s="1"/>
  <c r="AK27" i="5" s="1"/>
  <c r="AK29" i="5" s="1"/>
  <c r="AK30" i="5" s="1"/>
  <c r="AL25" i="5" s="1"/>
  <c r="AL27" i="5" s="1"/>
  <c r="AL29" i="5" s="1"/>
  <c r="AL30" i="5" s="1"/>
  <c r="AM25" i="5" s="1"/>
  <c r="AM27" i="5" s="1"/>
  <c r="AM29" i="5" s="1"/>
  <c r="AM30" i="5" s="1"/>
  <c r="AN25" i="5" s="1"/>
  <c r="AN27" i="5" s="1"/>
  <c r="AN29" i="5" s="1"/>
  <c r="AN30" i="5" s="1"/>
  <c r="AO25" i="5" s="1"/>
  <c r="AO27" i="5" s="1"/>
  <c r="AO29" i="5" s="1"/>
  <c r="AO30" i="5" s="1"/>
  <c r="AP25" i="5" s="1"/>
  <c r="AP27" i="5" s="1"/>
  <c r="AP29" i="5" s="1"/>
  <c r="AP30" i="5" s="1"/>
  <c r="AQ25" i="5" s="1"/>
  <c r="AQ27" i="5" s="1"/>
  <c r="AQ29" i="5" s="1"/>
  <c r="AQ30" i="5" s="1"/>
  <c r="AR25" i="5" s="1"/>
  <c r="AR27" i="5" s="1"/>
  <c r="AR29" i="5" s="1"/>
  <c r="AR30" i="5" s="1"/>
  <c r="AS25" i="5" s="1"/>
  <c r="AS27" i="5" s="1"/>
  <c r="AS29" i="5" s="1"/>
  <c r="AS30" i="5" s="1"/>
  <c r="AT25" i="5" s="1"/>
  <c r="AT27" i="5" s="1"/>
  <c r="AT29" i="5" s="1"/>
  <c r="AT30" i="5" s="1"/>
  <c r="AU25" i="5" s="1"/>
  <c r="AU27" i="5" s="1"/>
  <c r="AU29" i="5" s="1"/>
  <c r="AU30" i="5" s="1"/>
  <c r="AV25" i="5" s="1"/>
  <c r="AV27" i="5" s="1"/>
  <c r="AV29" i="5" s="1"/>
  <c r="AV30" i="5" s="1"/>
  <c r="AW25" i="5" s="1"/>
  <c r="AW27" i="5" s="1"/>
  <c r="AW29" i="5" s="1"/>
  <c r="AW30" i="5" s="1"/>
  <c r="AX25" i="5" s="1"/>
  <c r="AX27" i="5" s="1"/>
  <c r="AX29" i="5" s="1"/>
  <c r="AX30" i="5" s="1"/>
  <c r="AY25" i="5" s="1"/>
  <c r="AY27" i="5" s="1"/>
  <c r="AY29" i="5" s="1"/>
  <c r="AY30" i="5" s="1"/>
  <c r="AZ25" i="5" s="1"/>
  <c r="AZ27" i="5" s="1"/>
  <c r="AZ29" i="5" s="1"/>
  <c r="AZ30" i="5" s="1"/>
  <c r="BA25" i="5" s="1"/>
  <c r="BA27" i="5" s="1"/>
  <c r="BA29" i="5" s="1"/>
  <c r="BA30" i="5" s="1"/>
  <c r="BB25" i="5" s="1"/>
  <c r="BB27" i="5" s="1"/>
  <c r="BB29" i="5" s="1"/>
  <c r="BB30" i="5" s="1"/>
  <c r="BC25" i="5" s="1"/>
  <c r="BC27" i="5" s="1"/>
  <c r="BC29" i="5" s="1"/>
  <c r="BC30" i="5" s="1"/>
  <c r="BD25" i="5" s="1"/>
  <c r="BD27" i="5" s="1"/>
  <c r="BD29" i="5" s="1"/>
  <c r="BD30" i="5" s="1"/>
  <c r="BE25" i="5" s="1"/>
  <c r="BE27" i="5" s="1"/>
  <c r="BE29" i="5" s="1"/>
  <c r="BE30" i="5" s="1"/>
  <c r="BF25" i="5" s="1"/>
  <c r="BF27" i="5" s="1"/>
  <c r="BF29" i="5" s="1"/>
  <c r="BF30" i="5" s="1"/>
  <c r="BG25" i="5" s="1"/>
  <c r="BG27" i="5" s="1"/>
  <c r="BG29" i="5" s="1"/>
  <c r="BG30" i="5" s="1"/>
  <c r="BH25" i="5" s="1"/>
  <c r="BH27" i="5" s="1"/>
  <c r="BH29" i="5" s="1"/>
  <c r="BH30" i="5" s="1"/>
  <c r="BI25" i="5" s="1"/>
  <c r="BI27" i="5" s="1"/>
  <c r="BI29" i="5" s="1"/>
  <c r="BI30" i="5" s="1"/>
  <c r="BJ25" i="5" s="1"/>
  <c r="BJ27" i="5" s="1"/>
  <c r="BJ29" i="5" s="1"/>
  <c r="BJ30" i="5" s="1"/>
  <c r="BK25" i="5" s="1"/>
  <c r="BK27" i="5" s="1"/>
  <c r="BK29" i="5" s="1"/>
  <c r="BK30" i="5" s="1"/>
  <c r="BL25" i="5" s="1"/>
  <c r="BL27" i="5" s="1"/>
  <c r="BL29" i="5" s="1"/>
  <c r="BL30" i="5" s="1"/>
  <c r="BM25" i="5" s="1"/>
  <c r="BM27" i="5" s="1"/>
  <c r="BM29" i="5" s="1"/>
  <c r="BM30" i="5" s="1"/>
  <c r="BN25" i="5" s="1"/>
  <c r="BN27" i="5" s="1"/>
  <c r="BN29" i="5" s="1"/>
  <c r="BN30" i="5" s="1"/>
  <c r="BO25" i="5" s="1"/>
  <c r="BO27" i="5" s="1"/>
  <c r="BO29" i="5" s="1"/>
  <c r="BO30" i="5" s="1"/>
  <c r="BP25" i="5" s="1"/>
  <c r="BP27" i="5" s="1"/>
  <c r="BP29" i="5" s="1"/>
  <c r="BP30" i="5" s="1"/>
  <c r="BQ25" i="5" s="1"/>
  <c r="BQ27" i="5" s="1"/>
  <c r="BQ29" i="5" s="1"/>
  <c r="BQ30" i="5" s="1"/>
  <c r="BR25" i="5" s="1"/>
  <c r="BR27" i="5" s="1"/>
  <c r="BR29" i="5" s="1"/>
  <c r="BR30" i="5" s="1"/>
  <c r="BS25" i="5" s="1"/>
  <c r="BS27" i="5" s="1"/>
  <c r="BS29" i="5" s="1"/>
  <c r="BS30" i="5" s="1"/>
  <c r="BT25" i="5" s="1"/>
  <c r="BT27" i="5" s="1"/>
  <c r="BT29" i="5" s="1"/>
  <c r="BT30" i="5" s="1"/>
  <c r="BU25" i="5" s="1"/>
  <c r="BU27" i="5" s="1"/>
  <c r="BU29" i="5" s="1"/>
  <c r="BU30" i="5" s="1"/>
  <c r="O13" i="6" l="1"/>
  <c r="N14" i="6"/>
  <c r="O11" i="6" s="1"/>
  <c r="Z7" i="6"/>
  <c r="CQ39" i="5"/>
  <c r="CQ41" i="5"/>
  <c r="T43" i="5"/>
  <c r="T40" i="5"/>
  <c r="BW41" i="5"/>
  <c r="BW39" i="5"/>
  <c r="BI41" i="5"/>
  <c r="Y39" i="5"/>
  <c r="AC41" i="5"/>
  <c r="D4" i="2"/>
  <c r="E17" i="2"/>
  <c r="D18" i="2"/>
  <c r="D10" i="2"/>
  <c r="E10" i="2"/>
  <c r="D11" i="2"/>
  <c r="E11" i="2"/>
  <c r="D12" i="2"/>
  <c r="E12" i="2"/>
  <c r="D13" i="2"/>
  <c r="E13" i="2"/>
  <c r="D14" i="2"/>
  <c r="E14" i="2"/>
  <c r="D15" i="2"/>
  <c r="E15" i="2"/>
  <c r="D16" i="2"/>
  <c r="E16" i="2"/>
  <c r="D17" i="2"/>
  <c r="E18" i="2"/>
  <c r="D9" i="2"/>
  <c r="D34" i="1"/>
  <c r="D40" i="1" s="1"/>
  <c r="D44" i="1" s="1"/>
  <c r="D51" i="1" s="1"/>
  <c r="D19" i="1"/>
  <c r="E18" i="1"/>
  <c r="D17" i="1"/>
  <c r="D59" i="1" l="1"/>
  <c r="D63" i="1" s="1"/>
  <c r="E19" i="1"/>
  <c r="D22" i="1"/>
  <c r="P13" i="6"/>
  <c r="O14" i="6"/>
  <c r="P11" i="6" s="1"/>
  <c r="CR41" i="5"/>
  <c r="CR39" i="5"/>
  <c r="U38" i="5"/>
  <c r="T36" i="5"/>
  <c r="BX39" i="5"/>
  <c r="BX41" i="5"/>
  <c r="AD41" i="5"/>
  <c r="Z39" i="5"/>
  <c r="E34" i="1"/>
  <c r="F34" i="1" s="1"/>
  <c r="G34" i="1" s="1"/>
  <c r="H34" i="1" s="1"/>
  <c r="I34" i="1" s="1"/>
  <c r="J34" i="1" s="1"/>
  <c r="K34" i="1" s="1"/>
  <c r="L34" i="1" s="1"/>
  <c r="M34" i="1" s="1"/>
  <c r="N34" i="1" s="1"/>
  <c r="O34" i="1" s="1"/>
  <c r="P34" i="1" s="1"/>
  <c r="Q34" i="1" s="1"/>
  <c r="R34" i="1" s="1"/>
  <c r="S34" i="1" s="1"/>
  <c r="T34" i="1" s="1"/>
  <c r="U34" i="1" s="1"/>
  <c r="V34" i="1" s="1"/>
  <c r="W34" i="1" s="1"/>
  <c r="X34" i="1" s="1"/>
  <c r="Y34" i="1" s="1"/>
  <c r="F18" i="1"/>
  <c r="G18" i="1" s="1"/>
  <c r="H18" i="1" s="1"/>
  <c r="I18" i="1" s="1"/>
  <c r="D20" i="1"/>
  <c r="E17" i="1" s="1"/>
  <c r="E20" i="1" l="1"/>
  <c r="F17" i="1" s="1"/>
  <c r="F19" i="1"/>
  <c r="E22" i="1"/>
  <c r="Q13" i="6"/>
  <c r="P14" i="6"/>
  <c r="Q11" i="6" s="1"/>
  <c r="CS41" i="5"/>
  <c r="CS39" i="5"/>
  <c r="U43" i="5"/>
  <c r="U40" i="5"/>
  <c r="BY41" i="5"/>
  <c r="BY39" i="5"/>
  <c r="AE41" i="5"/>
  <c r="AA39" i="5"/>
  <c r="Z34" i="1"/>
  <c r="Y40" i="1"/>
  <c r="Y44" i="1" s="1"/>
  <c r="Y51" i="1" s="1"/>
  <c r="Y59" i="1" s="1"/>
  <c r="U40" i="1"/>
  <c r="U44" i="1" s="1"/>
  <c r="U51" i="1" s="1"/>
  <c r="U59" i="1" s="1"/>
  <c r="J40" i="1"/>
  <c r="J44" i="1" s="1"/>
  <c r="J51" i="1" s="1"/>
  <c r="H40" i="1"/>
  <c r="H44" i="1" s="1"/>
  <c r="H51" i="1" s="1"/>
  <c r="K40" i="1"/>
  <c r="K44" i="1" s="1"/>
  <c r="K51" i="1" s="1"/>
  <c r="F40" i="1"/>
  <c r="F44" i="1" s="1"/>
  <c r="F51" i="1" s="1"/>
  <c r="P40" i="1"/>
  <c r="P44" i="1" s="1"/>
  <c r="P51" i="1" s="1"/>
  <c r="P59" i="1" s="1"/>
  <c r="S40" i="1"/>
  <c r="S44" i="1" s="1"/>
  <c r="S51" i="1" s="1"/>
  <c r="S59" i="1" s="1"/>
  <c r="N40" i="1"/>
  <c r="N44" i="1" s="1"/>
  <c r="N51" i="1" s="1"/>
  <c r="N59" i="1" s="1"/>
  <c r="X40" i="1"/>
  <c r="X44" i="1" s="1"/>
  <c r="X51" i="1" s="1"/>
  <c r="X59" i="1" s="1"/>
  <c r="L40" i="1"/>
  <c r="L44" i="1" s="1"/>
  <c r="L51" i="1" s="1"/>
  <c r="V40" i="1"/>
  <c r="V44" i="1" s="1"/>
  <c r="V51" i="1" s="1"/>
  <c r="V59" i="1" s="1"/>
  <c r="I40" i="1"/>
  <c r="I44" i="1" s="1"/>
  <c r="I51" i="1" s="1"/>
  <c r="T40" i="1"/>
  <c r="T44" i="1" s="1"/>
  <c r="T51" i="1" s="1"/>
  <c r="T59" i="1" s="1"/>
  <c r="G40" i="1"/>
  <c r="G44" i="1" s="1"/>
  <c r="G51" i="1" s="1"/>
  <c r="Q40" i="1"/>
  <c r="Q44" i="1" s="1"/>
  <c r="Q51" i="1" s="1"/>
  <c r="Q59" i="1" s="1"/>
  <c r="E40" i="1"/>
  <c r="E44" i="1" s="1"/>
  <c r="E51" i="1" s="1"/>
  <c r="O40" i="1"/>
  <c r="O44" i="1" s="1"/>
  <c r="O51" i="1" s="1"/>
  <c r="O59" i="1" s="1"/>
  <c r="M40" i="1"/>
  <c r="M44" i="1" s="1"/>
  <c r="M51" i="1" s="1"/>
  <c r="W40" i="1"/>
  <c r="W44" i="1" s="1"/>
  <c r="W51" i="1" s="1"/>
  <c r="W59" i="1" s="1"/>
  <c r="R40" i="1"/>
  <c r="R44" i="1" s="1"/>
  <c r="R51" i="1" s="1"/>
  <c r="R59" i="1" s="1"/>
  <c r="J18" i="1"/>
  <c r="G59" i="1" l="1"/>
  <c r="G63" i="1" s="1"/>
  <c r="F59" i="1"/>
  <c r="F63" i="1" s="1"/>
  <c r="I59" i="1"/>
  <c r="I63" i="1" s="1"/>
  <c r="K59" i="1"/>
  <c r="K63" i="1" s="1"/>
  <c r="H59" i="1"/>
  <c r="H63" i="1" s="1"/>
  <c r="E59" i="1"/>
  <c r="E63" i="1" s="1"/>
  <c r="M59" i="1"/>
  <c r="M63" i="1" s="1"/>
  <c r="L59" i="1"/>
  <c r="L63" i="1" s="1"/>
  <c r="J59" i="1"/>
  <c r="J63" i="1" s="1"/>
  <c r="F20" i="1"/>
  <c r="G17" i="1" s="1"/>
  <c r="G19" i="1"/>
  <c r="H19" i="1" s="1"/>
  <c r="F22" i="1"/>
  <c r="Q14" i="6"/>
  <c r="R11" i="6" s="1"/>
  <c r="R13" i="6"/>
  <c r="CT39" i="5"/>
  <c r="CT41" i="5"/>
  <c r="V38" i="5"/>
  <c r="U36" i="5"/>
  <c r="BZ39" i="5"/>
  <c r="BZ41" i="5"/>
  <c r="AB39" i="5"/>
  <c r="AF41" i="5"/>
  <c r="AA34" i="1"/>
  <c r="Z40" i="1"/>
  <c r="Z44" i="1" s="1"/>
  <c r="Z51" i="1" s="1"/>
  <c r="Z59" i="1" s="1"/>
  <c r="K18" i="1"/>
  <c r="G22" i="1" l="1"/>
  <c r="H22" i="1" s="1"/>
  <c r="I19" i="1"/>
  <c r="J19" i="1" s="1"/>
  <c r="G20" i="1"/>
  <c r="H17" i="1" s="1"/>
  <c r="H20" i="1" s="1"/>
  <c r="I17" i="1" s="1"/>
  <c r="I20" i="1" s="1"/>
  <c r="J17" i="1" s="1"/>
  <c r="R14" i="6"/>
  <c r="S11" i="6" s="1"/>
  <c r="S13" i="6"/>
  <c r="CU41" i="5"/>
  <c r="CU39" i="5"/>
  <c r="V43" i="5"/>
  <c r="V40" i="5"/>
  <c r="CA41" i="5"/>
  <c r="CA39" i="5"/>
  <c r="AG41" i="5"/>
  <c r="AC39" i="5"/>
  <c r="AB34" i="1"/>
  <c r="AA40" i="1"/>
  <c r="AA44" i="1" s="1"/>
  <c r="AA51" i="1" s="1"/>
  <c r="AA59" i="1" s="1"/>
  <c r="L18" i="1"/>
  <c r="I22" i="1" l="1"/>
  <c r="J22" i="1" s="1"/>
  <c r="K19" i="1"/>
  <c r="J20" i="1"/>
  <c r="K17" i="1" s="1"/>
  <c r="T13" i="6"/>
  <c r="S14" i="6"/>
  <c r="T11" i="6" s="1"/>
  <c r="CV39" i="5"/>
  <c r="CV41" i="5"/>
  <c r="W38" i="5"/>
  <c r="V36" i="5"/>
  <c r="CB41" i="5"/>
  <c r="CB39" i="5"/>
  <c r="AD39" i="5"/>
  <c r="AH41" i="5"/>
  <c r="AC34" i="1"/>
  <c r="AB40" i="1"/>
  <c r="AB44" i="1" s="1"/>
  <c r="AB51" i="1" s="1"/>
  <c r="AB59" i="1" s="1"/>
  <c r="M18" i="1"/>
  <c r="L19" i="1" l="1"/>
  <c r="K20" i="1"/>
  <c r="L17" i="1" s="1"/>
  <c r="K22" i="1"/>
  <c r="L22" i="1" s="1"/>
  <c r="U13" i="6"/>
  <c r="T14" i="6"/>
  <c r="U11" i="6" s="1"/>
  <c r="CW39" i="5"/>
  <c r="CW41" i="5"/>
  <c r="W43" i="5"/>
  <c r="W40" i="5"/>
  <c r="CC41" i="5"/>
  <c r="CC39" i="5"/>
  <c r="AI41" i="5"/>
  <c r="AE39" i="5"/>
  <c r="AD34" i="1"/>
  <c r="AC40" i="1"/>
  <c r="AC44" i="1" s="1"/>
  <c r="AC51" i="1" s="1"/>
  <c r="AC59" i="1" s="1"/>
  <c r="N18" i="1"/>
  <c r="M19" i="1" l="1"/>
  <c r="L20" i="1"/>
  <c r="M17" i="1" s="1"/>
  <c r="V13" i="6"/>
  <c r="U14" i="6"/>
  <c r="V11" i="6" s="1"/>
  <c r="CX41" i="5"/>
  <c r="CX39" i="5"/>
  <c r="X38" i="5"/>
  <c r="W36" i="5"/>
  <c r="CD41" i="5"/>
  <c r="CD39" i="5"/>
  <c r="AF39" i="5"/>
  <c r="AJ41" i="5"/>
  <c r="AE34" i="1"/>
  <c r="AD40" i="1"/>
  <c r="AD44" i="1" s="1"/>
  <c r="AD51" i="1" s="1"/>
  <c r="AD59" i="1" s="1"/>
  <c r="O18" i="1"/>
  <c r="N19" i="1" l="1"/>
  <c r="M20" i="1"/>
  <c r="N17" i="1" s="1"/>
  <c r="M22" i="1"/>
  <c r="V14" i="6"/>
  <c r="W11" i="6" s="1"/>
  <c r="W13" i="6"/>
  <c r="CY39" i="5"/>
  <c r="CY41" i="5"/>
  <c r="X43" i="5"/>
  <c r="X40" i="5"/>
  <c r="CE39" i="5"/>
  <c r="CE41" i="5"/>
  <c r="AK41" i="5"/>
  <c r="AG39" i="5"/>
  <c r="AF34" i="1"/>
  <c r="AE40" i="1"/>
  <c r="AE44" i="1" s="1"/>
  <c r="AE51" i="1" s="1"/>
  <c r="AE59" i="1" s="1"/>
  <c r="P18" i="1"/>
  <c r="N22" i="1" l="1"/>
  <c r="O19" i="1"/>
  <c r="N20" i="1"/>
  <c r="O17" i="1" s="1"/>
  <c r="W14" i="6"/>
  <c r="X11" i="6" s="1"/>
  <c r="X13" i="6"/>
  <c r="CZ41" i="5"/>
  <c r="CZ39" i="5"/>
  <c r="Y38" i="5"/>
  <c r="X36" i="5"/>
  <c r="CF41" i="5"/>
  <c r="CF39" i="5"/>
  <c r="AH39" i="5"/>
  <c r="AL41" i="5"/>
  <c r="AG34" i="1"/>
  <c r="AF40" i="1"/>
  <c r="AF44" i="1" s="1"/>
  <c r="AF51" i="1" s="1"/>
  <c r="AF59" i="1" s="1"/>
  <c r="Q18" i="1"/>
  <c r="P19" i="1" l="1"/>
  <c r="O20" i="1"/>
  <c r="P17" i="1" s="1"/>
  <c r="O22" i="1"/>
  <c r="Y13" i="6"/>
  <c r="X14" i="6"/>
  <c r="Y11" i="6" s="1"/>
  <c r="DA39" i="5"/>
  <c r="DA41" i="5"/>
  <c r="Y43" i="5"/>
  <c r="Y40" i="5"/>
  <c r="AM41" i="5"/>
  <c r="AI39" i="5"/>
  <c r="AH34" i="1"/>
  <c r="AG40" i="1"/>
  <c r="AG44" i="1" s="1"/>
  <c r="AG51" i="1" s="1"/>
  <c r="AG59" i="1" s="1"/>
  <c r="R18" i="1"/>
  <c r="P22" i="1" l="1"/>
  <c r="Q19" i="1"/>
  <c r="P20" i="1"/>
  <c r="Q17" i="1" s="1"/>
  <c r="Y14" i="6"/>
  <c r="Z11" i="6" s="1"/>
  <c r="Z13" i="6"/>
  <c r="Z14" i="6" s="1"/>
  <c r="DB41" i="5"/>
  <c r="DB39" i="5"/>
  <c r="Z38" i="5"/>
  <c r="Y36" i="5"/>
  <c r="AJ39" i="5"/>
  <c r="AN41" i="5"/>
  <c r="AI34" i="1"/>
  <c r="AJ34" i="1" s="1"/>
  <c r="AK34" i="1" s="1"/>
  <c r="AL34" i="1" s="1"/>
  <c r="AM34" i="1" s="1"/>
  <c r="AN34" i="1" s="1"/>
  <c r="AO34" i="1" s="1"/>
  <c r="AP34" i="1" s="1"/>
  <c r="AQ34" i="1" s="1"/>
  <c r="AR34" i="1" s="1"/>
  <c r="AS34" i="1" s="1"/>
  <c r="AT34" i="1" s="1"/>
  <c r="AU34" i="1" s="1"/>
  <c r="AV34" i="1" s="1"/>
  <c r="AW34" i="1" s="1"/>
  <c r="AX34" i="1" s="1"/>
  <c r="AY34" i="1" s="1"/>
  <c r="AZ34" i="1" s="1"/>
  <c r="BA34" i="1" s="1"/>
  <c r="BB34" i="1" s="1"/>
  <c r="BC34" i="1" s="1"/>
  <c r="BD34" i="1" s="1"/>
  <c r="BE34" i="1" s="1"/>
  <c r="BF34" i="1" s="1"/>
  <c r="BG34" i="1" s="1"/>
  <c r="BH34" i="1" s="1"/>
  <c r="BI34" i="1" s="1"/>
  <c r="BJ34" i="1" s="1"/>
  <c r="BK34" i="1" s="1"/>
  <c r="BL34" i="1" s="1"/>
  <c r="BM34" i="1" s="1"/>
  <c r="BN34" i="1" s="1"/>
  <c r="BO34" i="1" s="1"/>
  <c r="BP34" i="1" s="1"/>
  <c r="BQ34" i="1" s="1"/>
  <c r="BR34" i="1" s="1"/>
  <c r="BS34" i="1" s="1"/>
  <c r="AH40" i="1"/>
  <c r="AH44" i="1" s="1"/>
  <c r="AH51" i="1" s="1"/>
  <c r="S18" i="1"/>
  <c r="AH59" i="1" l="1"/>
  <c r="AI51" i="1"/>
  <c r="R19" i="1"/>
  <c r="Q20" i="1"/>
  <c r="R17" i="1" s="1"/>
  <c r="DC41" i="5"/>
  <c r="DC39" i="5"/>
  <c r="Z43" i="5"/>
  <c r="Z40" i="5"/>
  <c r="AO41" i="5"/>
  <c r="AK39" i="5"/>
  <c r="T18" i="1"/>
  <c r="AJ51" i="1" l="1"/>
  <c r="AI59" i="1"/>
  <c r="S19" i="1"/>
  <c r="R20" i="1"/>
  <c r="S17" i="1" s="1"/>
  <c r="DD39" i="5"/>
  <c r="DD41" i="5"/>
  <c r="AA38" i="5"/>
  <c r="Z36" i="5"/>
  <c r="AP41" i="5"/>
  <c r="AL39" i="5"/>
  <c r="U18" i="1"/>
  <c r="AK51" i="1" l="1"/>
  <c r="AJ59" i="1"/>
  <c r="T19" i="1"/>
  <c r="S20" i="1"/>
  <c r="T17" i="1" s="1"/>
  <c r="AA43" i="5"/>
  <c r="AA40" i="5"/>
  <c r="AM39" i="5"/>
  <c r="AQ41" i="5"/>
  <c r="V18" i="1"/>
  <c r="AL51" i="1" l="1"/>
  <c r="AM51" i="1" s="1"/>
  <c r="AN51" i="1" s="1"/>
  <c r="AO51" i="1" s="1"/>
  <c r="AP51" i="1" s="1"/>
  <c r="AQ51" i="1" s="1"/>
  <c r="AR51" i="1" s="1"/>
  <c r="AS51" i="1" s="1"/>
  <c r="AT51" i="1" s="1"/>
  <c r="AU51" i="1" s="1"/>
  <c r="AK59" i="1"/>
  <c r="U19" i="1"/>
  <c r="T20" i="1"/>
  <c r="U17" i="1" s="1"/>
  <c r="AB38" i="5"/>
  <c r="AA36" i="5"/>
  <c r="AR41" i="5"/>
  <c r="AN39" i="5"/>
  <c r="W18" i="1"/>
  <c r="V19" i="1" l="1"/>
  <c r="U20" i="1"/>
  <c r="V17" i="1" s="1"/>
  <c r="AB43" i="5"/>
  <c r="AB40" i="5"/>
  <c r="AS41" i="5"/>
  <c r="AT41" i="5" s="1"/>
  <c r="AO39" i="5"/>
  <c r="X18" i="1"/>
  <c r="W19" i="1" l="1"/>
  <c r="V20" i="1"/>
  <c r="W17" i="1" s="1"/>
  <c r="AC38" i="5"/>
  <c r="AB36" i="5"/>
  <c r="AU41" i="5"/>
  <c r="AP39" i="5"/>
  <c r="Y18" i="1"/>
  <c r="X19" i="1" l="1"/>
  <c r="W20" i="1"/>
  <c r="X17" i="1" s="1"/>
  <c r="AC43" i="5"/>
  <c r="AC40" i="5"/>
  <c r="AV41" i="5"/>
  <c r="AQ39" i="5"/>
  <c r="Z18" i="1"/>
  <c r="Y19" i="1" l="1"/>
  <c r="Z19" i="1" s="1"/>
  <c r="AA19" i="1" s="1"/>
  <c r="AB19" i="1" s="1"/>
  <c r="AC19" i="1" s="1"/>
  <c r="AD19" i="1" s="1"/>
  <c r="AE19" i="1" s="1"/>
  <c r="AF19" i="1" s="1"/>
  <c r="AG19" i="1" s="1"/>
  <c r="AH19" i="1" s="1"/>
  <c r="AI19" i="1" s="1"/>
  <c r="AJ19" i="1" s="1"/>
  <c r="AK19" i="1" s="1"/>
  <c r="AL19" i="1" s="1"/>
  <c r="AM19" i="1" s="1"/>
  <c r="AN19" i="1" s="1"/>
  <c r="AO19" i="1" s="1"/>
  <c r="AP19" i="1" s="1"/>
  <c r="AQ19" i="1" s="1"/>
  <c r="AR19" i="1" s="1"/>
  <c r="AS19" i="1" s="1"/>
  <c r="AT19" i="1" s="1"/>
  <c r="AU19" i="1" s="1"/>
  <c r="AV19" i="1" s="1"/>
  <c r="AW19" i="1" s="1"/>
  <c r="AX19" i="1" s="1"/>
  <c r="AY19" i="1" s="1"/>
  <c r="AZ19" i="1" s="1"/>
  <c r="BA19" i="1" s="1"/>
  <c r="BB19" i="1" s="1"/>
  <c r="BC19" i="1" s="1"/>
  <c r="BD19" i="1" s="1"/>
  <c r="BE19" i="1" s="1"/>
  <c r="BF19" i="1" s="1"/>
  <c r="BG19" i="1" s="1"/>
  <c r="BH19" i="1" s="1"/>
  <c r="BI19" i="1" s="1"/>
  <c r="BJ19" i="1" s="1"/>
  <c r="BK19" i="1" s="1"/>
  <c r="BL19" i="1" s="1"/>
  <c r="BM19" i="1" s="1"/>
  <c r="BN19" i="1" s="1"/>
  <c r="BO19" i="1" s="1"/>
  <c r="BP19" i="1" s="1"/>
  <c r="BQ19" i="1" s="1"/>
  <c r="BR19" i="1" s="1"/>
  <c r="BS19" i="1" s="1"/>
  <c r="X20" i="1"/>
  <c r="Y17" i="1" s="1"/>
  <c r="AD38" i="5"/>
  <c r="AC36" i="5"/>
  <c r="AW41" i="5"/>
  <c r="AR39" i="5"/>
  <c r="AA18" i="1"/>
  <c r="Y20" i="1" l="1"/>
  <c r="Z17" i="1" s="1"/>
  <c r="Z20" i="1" s="1"/>
  <c r="AA17" i="1" s="1"/>
  <c r="AA20" i="1" s="1"/>
  <c r="AB17" i="1" s="1"/>
  <c r="AD43" i="5"/>
  <c r="AD40" i="5"/>
  <c r="AX41" i="5"/>
  <c r="AS39" i="5"/>
  <c r="AB18" i="1"/>
  <c r="AE38" i="5" l="1"/>
  <c r="AD36" i="5"/>
  <c r="AT39" i="5"/>
  <c r="AC18" i="1"/>
  <c r="AB20" i="1"/>
  <c r="AC17" i="1" s="1"/>
  <c r="AE43" i="5" l="1"/>
  <c r="AE40" i="5"/>
  <c r="AU39" i="5"/>
  <c r="AD18" i="1"/>
  <c r="AC20" i="1"/>
  <c r="AD17" i="1" s="1"/>
  <c r="AF38" i="5" l="1"/>
  <c r="AE36" i="5"/>
  <c r="AV39" i="5"/>
  <c r="AD20" i="1"/>
  <c r="AE17" i="1" s="1"/>
  <c r="AE18" i="1"/>
  <c r="AF43" i="5" l="1"/>
  <c r="AF40" i="5"/>
  <c r="AW39" i="5"/>
  <c r="AE20" i="1"/>
  <c r="AF17" i="1" s="1"/>
  <c r="AF18" i="1"/>
  <c r="AG38" i="5" l="1"/>
  <c r="AF36" i="5"/>
  <c r="AX39" i="5"/>
  <c r="AF20" i="1"/>
  <c r="AG17" i="1" s="1"/>
  <c r="AG18" i="1"/>
  <c r="AG43" i="5" l="1"/>
  <c r="AG40" i="5"/>
  <c r="AG20" i="1"/>
  <c r="AH17" i="1" s="1"/>
  <c r="AH18" i="1"/>
  <c r="AH38" i="5" l="1"/>
  <c r="AG36" i="5"/>
  <c r="AH20" i="1"/>
  <c r="AI18" i="1"/>
  <c r="AH43" i="5" l="1"/>
  <c r="AH40" i="5"/>
  <c r="AI17" i="1"/>
  <c r="AI20" i="1" s="1"/>
  <c r="AJ17" i="1" s="1"/>
  <c r="AJ18" i="1"/>
  <c r="AI38" i="5" l="1"/>
  <c r="AH36" i="5"/>
  <c r="AK18" i="1"/>
  <c r="AJ20" i="1"/>
  <c r="AK17" i="1" s="1"/>
  <c r="AI43" i="5" l="1"/>
  <c r="AI40" i="5"/>
  <c r="AL18" i="1"/>
  <c r="AK20" i="1"/>
  <c r="AL17" i="1" s="1"/>
  <c r="AJ38" i="5" l="1"/>
  <c r="AI36" i="5"/>
  <c r="AL20" i="1"/>
  <c r="AM17" i="1" s="1"/>
  <c r="AM18" i="1"/>
  <c r="AJ43" i="5" l="1"/>
  <c r="AJ40" i="5"/>
  <c r="AM20" i="1"/>
  <c r="AN17" i="1" s="1"/>
  <c r="AN18" i="1"/>
  <c r="AK38" i="5" l="1"/>
  <c r="AJ36" i="5"/>
  <c r="AN20" i="1"/>
  <c r="AO17" i="1" s="1"/>
  <c r="AO18" i="1"/>
  <c r="AK43" i="5" l="1"/>
  <c r="AK40" i="5"/>
  <c r="AO20" i="1"/>
  <c r="AP18" i="1"/>
  <c r="AL38" i="5" l="1"/>
  <c r="AK36" i="5"/>
  <c r="AP17" i="1"/>
  <c r="AP20" i="1" s="1"/>
  <c r="AQ18" i="1"/>
  <c r="AQ17" i="1" l="1"/>
  <c r="AL43" i="5"/>
  <c r="AL40" i="5"/>
  <c r="AR18" i="1"/>
  <c r="AQ20" i="1"/>
  <c r="AR17" i="1" s="1"/>
  <c r="AM38" i="5" l="1"/>
  <c r="AL36" i="5"/>
  <c r="AS18" i="1"/>
  <c r="AR20" i="1"/>
  <c r="AS17" i="1" s="1"/>
  <c r="AM43" i="5" l="1"/>
  <c r="AM40" i="5"/>
  <c r="AT18" i="1"/>
  <c r="AS20" i="1"/>
  <c r="AT17" i="1" s="1"/>
  <c r="AN38" i="5" l="1"/>
  <c r="AM36" i="5"/>
  <c r="AU18" i="1"/>
  <c r="AT20" i="1"/>
  <c r="AU17" i="1" s="1"/>
  <c r="AN43" i="5" l="1"/>
  <c r="AN40" i="5"/>
  <c r="AU20" i="1"/>
  <c r="AV18" i="1"/>
  <c r="AO38" i="5" l="1"/>
  <c r="AN36" i="5"/>
  <c r="AV17" i="1"/>
  <c r="AV20" i="1" s="1"/>
  <c r="AW17" i="1" s="1"/>
  <c r="AW18" i="1"/>
  <c r="AO43" i="5" l="1"/>
  <c r="AO40" i="5"/>
  <c r="AW20" i="1"/>
  <c r="AX17" i="1" s="1"/>
  <c r="AX18" i="1"/>
  <c r="AP38" i="5" l="1"/>
  <c r="AO36" i="5"/>
  <c r="AX20" i="1"/>
  <c r="AY17" i="1" s="1"/>
  <c r="AY18" i="1"/>
  <c r="AP43" i="5" l="1"/>
  <c r="AP40" i="5"/>
  <c r="AZ18" i="1"/>
  <c r="AY20" i="1"/>
  <c r="AQ38" i="5" l="1"/>
  <c r="AP36" i="5"/>
  <c r="AZ17" i="1"/>
  <c r="AZ20" i="1" s="1"/>
  <c r="BA17" i="1" s="1"/>
  <c r="BA18" i="1"/>
  <c r="AQ43" i="5" l="1"/>
  <c r="AQ40" i="5"/>
  <c r="BB18" i="1"/>
  <c r="BA20" i="1"/>
  <c r="BB17" i="1" s="1"/>
  <c r="AR38" i="5" l="1"/>
  <c r="AQ36" i="5"/>
  <c r="BC18" i="1"/>
  <c r="BB20" i="1"/>
  <c r="BC17" i="1" s="1"/>
  <c r="AR43" i="5" l="1"/>
  <c r="AR40" i="5"/>
  <c r="BD18" i="1"/>
  <c r="BC20" i="1"/>
  <c r="BD17" i="1" s="1"/>
  <c r="AS38" i="5" l="1"/>
  <c r="AR36" i="5"/>
  <c r="BD20" i="1"/>
  <c r="BE17" i="1" s="1"/>
  <c r="BE18" i="1"/>
  <c r="AS43" i="5" l="1"/>
  <c r="AS40" i="5"/>
  <c r="BE20" i="1"/>
  <c r="BF17" i="1" s="1"/>
  <c r="BF18" i="1"/>
  <c r="AT38" i="5" l="1"/>
  <c r="AS36" i="5"/>
  <c r="BF20" i="1"/>
  <c r="BG17" i="1" s="1"/>
  <c r="BG18" i="1"/>
  <c r="AT43" i="5" l="1"/>
  <c r="AT40" i="5"/>
  <c r="BH18" i="1"/>
  <c r="BG20" i="1"/>
  <c r="BH17" i="1" s="1"/>
  <c r="AU38" i="5" l="1"/>
  <c r="AT36" i="5"/>
  <c r="BI18" i="1"/>
  <c r="BH20" i="1"/>
  <c r="BI17" i="1" s="1"/>
  <c r="AU43" i="5" l="1"/>
  <c r="AU40" i="5"/>
  <c r="BJ18" i="1"/>
  <c r="BI20" i="1"/>
  <c r="BJ17" i="1" s="1"/>
  <c r="AV38" i="5" l="1"/>
  <c r="AU36" i="5"/>
  <c r="BJ20" i="1"/>
  <c r="BK17" i="1" s="1"/>
  <c r="BK18" i="1"/>
  <c r="AV43" i="5" l="1"/>
  <c r="AV40" i="5"/>
  <c r="BK20" i="1"/>
  <c r="BL17" i="1" s="1"/>
  <c r="BL18" i="1"/>
  <c r="AW38" i="5" l="1"/>
  <c r="AV36" i="5"/>
  <c r="BL20" i="1"/>
  <c r="BM17" i="1" s="1"/>
  <c r="BM18" i="1"/>
  <c r="AW43" i="5" l="1"/>
  <c r="AW40" i="5"/>
  <c r="BM20" i="1"/>
  <c r="BN17" i="1" s="1"/>
  <c r="BN18" i="1"/>
  <c r="AX38" i="5" l="1"/>
  <c r="AW36" i="5"/>
  <c r="BO18" i="1"/>
  <c r="BN20" i="1"/>
  <c r="BO17" i="1" s="1"/>
  <c r="AX43" i="5" l="1"/>
  <c r="AX40" i="5"/>
  <c r="BP18" i="1"/>
  <c r="BO20" i="1"/>
  <c r="BP17" i="1" s="1"/>
  <c r="AY38" i="5" l="1"/>
  <c r="AX36" i="5"/>
  <c r="BQ18" i="1"/>
  <c r="BP20" i="1"/>
  <c r="BQ17" i="1" s="1"/>
  <c r="AY40" i="5" l="1"/>
  <c r="AY43" i="5"/>
  <c r="BR18" i="1"/>
  <c r="BQ20" i="1"/>
  <c r="BR17" i="1" s="1"/>
  <c r="AZ38" i="5" l="1"/>
  <c r="AY36" i="5"/>
  <c r="BR20" i="1"/>
  <c r="BS17" i="1" s="1"/>
  <c r="BS18" i="1"/>
  <c r="AZ40" i="5" l="1"/>
  <c r="AZ43" i="5"/>
  <c r="BS20" i="1"/>
  <c r="BA38" i="5" l="1"/>
  <c r="AZ36" i="5"/>
  <c r="BA40" i="5" l="1"/>
  <c r="BA43" i="5"/>
  <c r="BB38" i="5" l="1"/>
  <c r="BA36" i="5"/>
  <c r="BB40" i="5" l="1"/>
  <c r="BB43" i="5"/>
  <c r="BC38" i="5" l="1"/>
  <c r="BB36" i="5"/>
  <c r="BC40" i="5" l="1"/>
  <c r="BC43" i="5"/>
  <c r="BD38" i="5" l="1"/>
  <c r="BC36" i="5"/>
  <c r="BD40" i="5" l="1"/>
  <c r="BD43" i="5"/>
  <c r="BE38" i="5" l="1"/>
  <c r="BD36" i="5"/>
  <c r="BE40" i="5" l="1"/>
  <c r="BE43" i="5"/>
  <c r="BF38" i="5" l="1"/>
  <c r="BE36" i="5"/>
  <c r="BF40" i="5" l="1"/>
  <c r="BF43" i="5"/>
  <c r="BG38" i="5" l="1"/>
  <c r="BF36" i="5"/>
  <c r="BG40" i="5" l="1"/>
  <c r="BG43" i="5"/>
  <c r="BH38" i="5" l="1"/>
  <c r="BG36" i="5"/>
  <c r="BH40" i="5" l="1"/>
  <c r="BH43" i="5"/>
  <c r="BI38" i="5" l="1"/>
  <c r="BH36" i="5"/>
  <c r="BI40" i="5" l="1"/>
  <c r="BI43" i="5"/>
  <c r="BJ38" i="5" l="1"/>
  <c r="BI36" i="5"/>
  <c r="BJ43" i="5" l="1"/>
  <c r="BJ40" i="5"/>
  <c r="BJ36" i="5" l="1"/>
  <c r="BK38" i="5"/>
  <c r="BK40" i="5" l="1"/>
  <c r="BK43" i="5"/>
  <c r="BL38" i="5" l="1"/>
  <c r="BK36" i="5"/>
  <c r="BL43" i="5" l="1"/>
  <c r="BL40" i="5"/>
  <c r="BM38" i="5" l="1"/>
  <c r="BL36" i="5"/>
  <c r="BM40" i="5" l="1"/>
  <c r="BM43" i="5"/>
  <c r="BM36" i="5" l="1"/>
  <c r="BN38" i="5"/>
  <c r="BN43" i="5" l="1"/>
  <c r="BN40" i="5"/>
  <c r="BO38" i="5" l="1"/>
  <c r="BN36" i="5"/>
  <c r="BO40" i="5" l="1"/>
  <c r="BO43" i="5"/>
  <c r="BP38" i="5" l="1"/>
  <c r="BO36" i="5"/>
  <c r="BP40" i="5" l="1"/>
  <c r="BP43" i="5"/>
  <c r="BP36" i="5" l="1"/>
  <c r="BQ38" i="5"/>
  <c r="BQ43" i="5" l="1"/>
  <c r="BQ40" i="5"/>
  <c r="BQ36" i="5" l="1"/>
  <c r="BR38" i="5"/>
  <c r="BR40" i="5" l="1"/>
  <c r="BR43" i="5"/>
  <c r="BR36" i="5" l="1"/>
  <c r="BS38" i="5"/>
  <c r="BS40" i="5" l="1"/>
  <c r="BS43" i="5"/>
  <c r="BS36" i="5" l="1"/>
  <c r="BT38" i="5"/>
  <c r="BT40" i="5" l="1"/>
  <c r="BT43" i="5"/>
  <c r="BT36" i="5" l="1"/>
  <c r="BU38" i="5"/>
  <c r="BU43" i="5" l="1"/>
  <c r="BU40" i="5"/>
  <c r="BU36" i="5" l="1"/>
  <c r="BV38" i="5"/>
  <c r="BV43" i="5" l="1"/>
  <c r="BV40" i="5"/>
  <c r="BV36" i="5" l="1"/>
  <c r="BW38" i="5"/>
  <c r="BW40" i="5" l="1"/>
  <c r="BW43" i="5"/>
  <c r="BX38" i="5" l="1"/>
  <c r="BW36" i="5"/>
  <c r="BX43" i="5" l="1"/>
  <c r="BX40" i="5"/>
  <c r="BY38" i="5" l="1"/>
  <c r="BX36" i="5"/>
  <c r="BY40" i="5" l="1"/>
  <c r="BY43" i="5"/>
  <c r="BZ38" i="5" l="1"/>
  <c r="BY36" i="5"/>
  <c r="BZ43" i="5" l="1"/>
  <c r="BZ40" i="5"/>
  <c r="BZ36" i="5" l="1"/>
  <c r="CA38" i="5"/>
  <c r="CA43" i="5" l="1"/>
  <c r="CA40" i="5"/>
  <c r="CB38" i="5" l="1"/>
  <c r="CA36" i="5"/>
  <c r="CB40" i="5" l="1"/>
  <c r="CB43" i="5"/>
  <c r="CB36" i="5" l="1"/>
  <c r="CC38" i="5"/>
  <c r="CC43" i="5" l="1"/>
  <c r="CC40" i="5"/>
  <c r="CC36" i="5" l="1"/>
  <c r="CD38" i="5"/>
  <c r="CD43" i="5" l="1"/>
  <c r="CD40" i="5"/>
  <c r="CD36" i="5" l="1"/>
  <c r="CE38" i="5"/>
  <c r="CE43" i="5" l="1"/>
  <c r="CE40" i="5"/>
  <c r="CE36" i="5" l="1"/>
  <c r="CF38" i="5"/>
  <c r="CF40" i="5" l="1"/>
  <c r="CF43" i="5"/>
  <c r="CF36" i="5" l="1"/>
  <c r="CG38" i="5"/>
  <c r="CG43" i="5" l="1"/>
  <c r="CG40" i="5"/>
  <c r="CG36" i="5" l="1"/>
  <c r="CH38" i="5"/>
  <c r="CH43" i="5" l="1"/>
  <c r="CH40" i="5"/>
  <c r="CI38" i="5" l="1"/>
  <c r="CH36" i="5"/>
  <c r="CI40" i="5" l="1"/>
  <c r="CI43" i="5"/>
  <c r="CJ38" i="5" l="1"/>
  <c r="CI36" i="5"/>
  <c r="CJ40" i="5" l="1"/>
  <c r="CJ43" i="5"/>
  <c r="CJ36" i="5" l="1"/>
  <c r="CK38" i="5"/>
  <c r="CK43" i="5" l="1"/>
  <c r="CK40" i="5"/>
  <c r="CK36" i="5" l="1"/>
  <c r="CL38" i="5"/>
  <c r="CL43" i="5" l="1"/>
  <c r="CL40" i="5"/>
  <c r="CM38" i="5" l="1"/>
  <c r="CL36" i="5"/>
  <c r="CM40" i="5" l="1"/>
  <c r="CM43" i="5"/>
  <c r="CM36" i="5" l="1"/>
  <c r="CN38" i="5"/>
  <c r="CN40" i="5" l="1"/>
  <c r="CN43" i="5"/>
  <c r="CO38" i="5" l="1"/>
  <c r="CN36" i="5"/>
  <c r="CO43" i="5" l="1"/>
  <c r="CO40" i="5"/>
  <c r="CO36" i="5" l="1"/>
  <c r="CP38" i="5"/>
  <c r="CP43" i="5" l="1"/>
  <c r="CP40" i="5"/>
  <c r="CP36" i="5" l="1"/>
  <c r="CQ38" i="5"/>
  <c r="CQ43" i="5" l="1"/>
  <c r="CQ40" i="5"/>
  <c r="CQ36" i="5" l="1"/>
  <c r="CR38" i="5"/>
  <c r="CR43" i="5" l="1"/>
  <c r="CR40" i="5"/>
  <c r="CR36" i="5" l="1"/>
  <c r="CS38" i="5"/>
  <c r="CS40" i="5" l="1"/>
  <c r="CS43" i="5"/>
  <c r="CT38" i="5" l="1"/>
  <c r="CS36" i="5"/>
  <c r="CT40" i="5" l="1"/>
  <c r="CT43" i="5"/>
  <c r="CU38" i="5" l="1"/>
  <c r="CT36" i="5"/>
  <c r="CU40" i="5" l="1"/>
  <c r="CU43" i="5"/>
  <c r="CV38" i="5" l="1"/>
  <c r="CU36" i="5"/>
  <c r="CV43" i="5" l="1"/>
  <c r="CV40" i="5"/>
  <c r="CW38" i="5" l="1"/>
  <c r="CV36" i="5"/>
  <c r="CW40" i="5" l="1"/>
  <c r="CW43" i="5"/>
  <c r="CW36" i="5" l="1"/>
  <c r="CX38" i="5"/>
  <c r="CX40" i="5" l="1"/>
  <c r="CX43" i="5"/>
  <c r="CX36" i="5" l="1"/>
  <c r="CY38" i="5"/>
  <c r="CY43" i="5" l="1"/>
  <c r="CY40" i="5"/>
  <c r="CY36" i="5" l="1"/>
  <c r="CZ38" i="5"/>
  <c r="CZ43" i="5" l="1"/>
  <c r="CZ40" i="5"/>
  <c r="CZ36" i="5" l="1"/>
  <c r="DA38" i="5"/>
  <c r="DA43" i="5" l="1"/>
  <c r="DA40" i="5"/>
  <c r="DA36" i="5" l="1"/>
  <c r="DB38" i="5"/>
  <c r="DB43" i="5" l="1"/>
  <c r="DB40" i="5"/>
  <c r="DC38" i="5" l="1"/>
  <c r="DB36" i="5"/>
  <c r="DC40" i="5" l="1"/>
  <c r="DC43" i="5"/>
  <c r="DD38" i="5" l="1"/>
  <c r="DC36" i="5"/>
  <c r="DD43" i="5" l="1"/>
  <c r="DD36" i="5" s="1"/>
  <c r="M36" i="5" s="1"/>
  <c r="DD40" i="5"/>
  <c r="C3" i="1"/>
  <c r="E9" i="2"/>
  <c r="C27" i="1" l="1"/>
  <c r="D36" i="1" s="1"/>
  <c r="C24" i="1"/>
  <c r="D54" i="1"/>
  <c r="E36" i="1"/>
  <c r="D16" i="1"/>
  <c r="E16" i="1" s="1"/>
  <c r="F16" i="1" s="1"/>
  <c r="G16" i="1" s="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AE16" i="1" s="1"/>
  <c r="AF16" i="1" s="1"/>
  <c r="AG16" i="1" s="1"/>
  <c r="AH16" i="1" s="1"/>
  <c r="AI16" i="1" s="1"/>
  <c r="AJ16" i="1" s="1"/>
  <c r="AK16" i="1" s="1"/>
  <c r="E30" i="1" l="1"/>
  <c r="E24" i="4"/>
  <c r="E21" i="2"/>
  <c r="F36" i="1"/>
  <c r="AL16" i="1"/>
  <c r="AM16" i="1" s="1"/>
  <c r="AN16" i="1" s="1"/>
  <c r="AO16" i="1" s="1"/>
  <c r="AP16" i="1" s="1"/>
  <c r="AQ16" i="1" s="1"/>
  <c r="AR16" i="1" s="1"/>
  <c r="AS16" i="1" s="1"/>
  <c r="AT16" i="1" s="1"/>
  <c r="AU16" i="1" s="1"/>
  <c r="AV16" i="1" s="1"/>
  <c r="AW16" i="1" s="1"/>
  <c r="AX16" i="1" s="1"/>
  <c r="AY16" i="1" s="1"/>
  <c r="AZ16" i="1" s="1"/>
  <c r="BA16" i="1" s="1"/>
  <c r="BB16" i="1" s="1"/>
  <c r="BC16" i="1" s="1"/>
  <c r="BD16" i="1" s="1"/>
  <c r="BE16" i="1" s="1"/>
  <c r="BF16" i="1" s="1"/>
  <c r="BG16" i="1" s="1"/>
  <c r="BH16" i="1" s="1"/>
  <c r="BI16" i="1" s="1"/>
  <c r="BJ16" i="1" s="1"/>
  <c r="BK16" i="1" s="1"/>
  <c r="BL16" i="1" s="1"/>
  <c r="BM16" i="1" s="1"/>
  <c r="BN16" i="1" s="1"/>
  <c r="BO16" i="1" s="1"/>
  <c r="BP16" i="1" s="1"/>
  <c r="BQ16" i="1" s="1"/>
  <c r="BR16" i="1" s="1"/>
  <c r="BS16" i="1" s="1"/>
  <c r="E54" i="1"/>
  <c r="C23" i="1" l="1"/>
  <c r="D35" i="1" s="1"/>
  <c r="F54" i="1"/>
  <c r="G36" i="1"/>
  <c r="D26" i="2"/>
  <c r="D29" i="4"/>
  <c r="E29" i="1" l="1"/>
  <c r="C25" i="1"/>
  <c r="D25" i="1" s="1"/>
  <c r="E26" i="1" s="1"/>
  <c r="E20" i="2"/>
  <c r="E23" i="4"/>
  <c r="D38" i="1"/>
  <c r="D41" i="1"/>
  <c r="D37" i="1"/>
  <c r="E35" i="1" s="1"/>
  <c r="D28" i="4"/>
  <c r="D25" i="2"/>
  <c r="H36" i="1"/>
  <c r="G54" i="1"/>
  <c r="D52" i="1" l="1"/>
  <c r="D45" i="1"/>
  <c r="D42" i="1"/>
  <c r="D46" i="1" s="1"/>
  <c r="I36" i="1"/>
  <c r="E38" i="1"/>
  <c r="E41" i="1"/>
  <c r="E37" i="1"/>
  <c r="F35" i="1" s="1"/>
  <c r="H54" i="1"/>
  <c r="F38" i="1" l="1"/>
  <c r="F41" i="1"/>
  <c r="F37" i="1"/>
  <c r="G35" i="1" s="1"/>
  <c r="J36" i="1"/>
  <c r="E45" i="1"/>
  <c r="E42" i="1"/>
  <c r="E46" i="1" s="1"/>
  <c r="D47" i="1"/>
  <c r="I54" i="1"/>
  <c r="D61" i="1"/>
  <c r="D53" i="1"/>
  <c r="D55" i="1" s="1"/>
  <c r="D64" i="1"/>
  <c r="E47" i="1" l="1"/>
  <c r="D60" i="1"/>
  <c r="D56" i="1"/>
  <c r="E52" i="1" s="1"/>
  <c r="D66" i="1"/>
  <c r="D49" i="1"/>
  <c r="J54" i="1"/>
  <c r="K36" i="1"/>
  <c r="G38" i="1"/>
  <c r="G41" i="1"/>
  <c r="G37" i="1"/>
  <c r="H35" i="1" s="1"/>
  <c r="F45" i="1"/>
  <c r="F42" i="1"/>
  <c r="F46" i="1" s="1"/>
  <c r="K54" i="1" l="1"/>
  <c r="D65" i="1"/>
  <c r="D71" i="1"/>
  <c r="D72" i="1" s="1"/>
  <c r="E61" i="1"/>
  <c r="E64" i="1"/>
  <c r="E53" i="1"/>
  <c r="E55" i="1" s="1"/>
  <c r="F47" i="1"/>
  <c r="H38" i="1"/>
  <c r="H41" i="1"/>
  <c r="H37" i="1"/>
  <c r="I35" i="1" s="1"/>
  <c r="G45" i="1"/>
  <c r="G42" i="1"/>
  <c r="G46" i="1" s="1"/>
  <c r="L36" i="1"/>
  <c r="M36" i="1" l="1"/>
  <c r="E60" i="1"/>
  <c r="E56" i="1"/>
  <c r="F52" i="1" s="1"/>
  <c r="E66" i="1"/>
  <c r="E49" i="1"/>
  <c r="I38" i="1"/>
  <c r="I41" i="1"/>
  <c r="I37" i="1"/>
  <c r="J35" i="1" s="1"/>
  <c r="H45" i="1"/>
  <c r="H42" i="1"/>
  <c r="H46" i="1" s="1"/>
  <c r="G47" i="1"/>
  <c r="L54" i="1"/>
  <c r="M54" i="1" l="1"/>
  <c r="I45" i="1"/>
  <c r="I42" i="1"/>
  <c r="I46" i="1" s="1"/>
  <c r="E65" i="1"/>
  <c r="E71" i="1"/>
  <c r="E72" i="1" s="1"/>
  <c r="F53" i="1"/>
  <c r="F55" i="1" s="1"/>
  <c r="F61" i="1"/>
  <c r="F64" i="1"/>
  <c r="H47" i="1"/>
  <c r="N36" i="1"/>
  <c r="J41" i="1"/>
  <c r="J38" i="1"/>
  <c r="J37" i="1"/>
  <c r="K35" i="1" s="1"/>
  <c r="F56" i="1" l="1"/>
  <c r="G52" i="1" s="1"/>
  <c r="F60" i="1"/>
  <c r="F66" i="1"/>
  <c r="F49" i="1"/>
  <c r="J42" i="1"/>
  <c r="J46" i="1" s="1"/>
  <c r="J45" i="1"/>
  <c r="I47" i="1"/>
  <c r="N54" i="1"/>
  <c r="K41" i="1"/>
  <c r="K38" i="1"/>
  <c r="K37" i="1"/>
  <c r="L35" i="1" s="1"/>
  <c r="O36" i="1"/>
  <c r="J47" i="1" l="1"/>
  <c r="O54" i="1"/>
  <c r="P36" i="1"/>
  <c r="L41" i="1"/>
  <c r="L38" i="1"/>
  <c r="L37" i="1"/>
  <c r="M35" i="1" s="1"/>
  <c r="F65" i="1"/>
  <c r="F71" i="1"/>
  <c r="F72" i="1" s="1"/>
  <c r="K42" i="1"/>
  <c r="K46" i="1" s="1"/>
  <c r="K45" i="1"/>
  <c r="G53" i="1"/>
  <c r="G55" i="1" s="1"/>
  <c r="G61" i="1"/>
  <c r="G64" i="1"/>
  <c r="K47" i="1" l="1"/>
  <c r="M41" i="1"/>
  <c r="M38" i="1"/>
  <c r="M37" i="1"/>
  <c r="N35" i="1" s="1"/>
  <c r="L45" i="1"/>
  <c r="L42" i="1"/>
  <c r="L46" i="1" s="1"/>
  <c r="G56" i="1"/>
  <c r="H52" i="1" s="1"/>
  <c r="G60" i="1"/>
  <c r="G66" i="1"/>
  <c r="G49" i="1"/>
  <c r="Q36" i="1"/>
  <c r="P54" i="1"/>
  <c r="H53" i="1" l="1"/>
  <c r="H55" i="1" s="1"/>
  <c r="H61" i="1"/>
  <c r="H64" i="1"/>
  <c r="L47" i="1"/>
  <c r="G71" i="1"/>
  <c r="G72" i="1" s="1"/>
  <c r="G65" i="1"/>
  <c r="Q54" i="1"/>
  <c r="N41" i="1"/>
  <c r="N38" i="1"/>
  <c r="N37" i="1"/>
  <c r="O35" i="1" s="1"/>
  <c r="R36" i="1"/>
  <c r="M42" i="1"/>
  <c r="M46" i="1" s="1"/>
  <c r="M45" i="1"/>
  <c r="M47" i="1" l="1"/>
  <c r="R54" i="1"/>
  <c r="S36" i="1"/>
  <c r="O41" i="1"/>
  <c r="O38" i="1"/>
  <c r="O37" i="1"/>
  <c r="P35" i="1" s="1"/>
  <c r="N45" i="1"/>
  <c r="N42" i="1"/>
  <c r="N46" i="1" s="1"/>
  <c r="H60" i="1"/>
  <c r="H56" i="1"/>
  <c r="I52" i="1" s="1"/>
  <c r="H66" i="1"/>
  <c r="H49" i="1"/>
  <c r="N47" i="1" l="1"/>
  <c r="P41" i="1"/>
  <c r="P38" i="1"/>
  <c r="P37" i="1"/>
  <c r="Q35" i="1" s="1"/>
  <c r="O45" i="1"/>
  <c r="O42" i="1"/>
  <c r="O46" i="1" s="1"/>
  <c r="H65" i="1"/>
  <c r="H71" i="1"/>
  <c r="H72" i="1" s="1"/>
  <c r="I61" i="1"/>
  <c r="I53" i="1"/>
  <c r="I55" i="1" s="1"/>
  <c r="I64" i="1"/>
  <c r="T36" i="1"/>
  <c r="S54" i="1"/>
  <c r="T54" i="1" l="1"/>
  <c r="Q41" i="1"/>
  <c r="Q38" i="1"/>
  <c r="Q37" i="1"/>
  <c r="R35" i="1" s="1"/>
  <c r="O47" i="1"/>
  <c r="U36" i="1"/>
  <c r="I56" i="1"/>
  <c r="J52" i="1" s="1"/>
  <c r="I60" i="1"/>
  <c r="I66" i="1"/>
  <c r="I49" i="1"/>
  <c r="P45" i="1"/>
  <c r="P42" i="1"/>
  <c r="P46" i="1" s="1"/>
  <c r="P47" i="1" l="1"/>
  <c r="I65" i="1"/>
  <c r="I71" i="1"/>
  <c r="I72" i="1" s="1"/>
  <c r="V36" i="1"/>
  <c r="R41" i="1"/>
  <c r="R38" i="1"/>
  <c r="R37" i="1"/>
  <c r="S35" i="1" s="1"/>
  <c r="Q45" i="1"/>
  <c r="Q42" i="1"/>
  <c r="Q46" i="1" s="1"/>
  <c r="J53" i="1"/>
  <c r="J55" i="1" s="1"/>
  <c r="J61" i="1"/>
  <c r="J64" i="1"/>
  <c r="U54" i="1"/>
  <c r="W36" i="1" l="1"/>
  <c r="S38" i="1"/>
  <c r="S41" i="1"/>
  <c r="S37" i="1"/>
  <c r="T35" i="1" s="1"/>
  <c r="V54" i="1"/>
  <c r="R45" i="1"/>
  <c r="R42" i="1"/>
  <c r="R46" i="1" s="1"/>
  <c r="J56" i="1"/>
  <c r="K52" i="1" s="1"/>
  <c r="J60" i="1"/>
  <c r="J66" i="1"/>
  <c r="J49" i="1"/>
  <c r="Q47" i="1"/>
  <c r="R47" i="1" l="1"/>
  <c r="W54" i="1"/>
  <c r="J71" i="1"/>
  <c r="J72" i="1" s="1"/>
  <c r="J65" i="1"/>
  <c r="T41" i="1"/>
  <c r="T38" i="1"/>
  <c r="T37" i="1"/>
  <c r="U35" i="1" s="1"/>
  <c r="S45" i="1"/>
  <c r="S47" i="1" s="1"/>
  <c r="S42" i="1"/>
  <c r="S46" i="1" s="1"/>
  <c r="K61" i="1"/>
  <c r="K53" i="1"/>
  <c r="K55" i="1" s="1"/>
  <c r="K64" i="1"/>
  <c r="X36" i="1"/>
  <c r="T42" i="1" l="1"/>
  <c r="T46" i="1" s="1"/>
  <c r="T45" i="1"/>
  <c r="T47" i="1" s="1"/>
  <c r="U41" i="1"/>
  <c r="U38" i="1"/>
  <c r="U37" i="1"/>
  <c r="V35" i="1" s="1"/>
  <c r="Y36" i="1"/>
  <c r="K56" i="1"/>
  <c r="L52" i="1" s="1"/>
  <c r="K60" i="1"/>
  <c r="K66" i="1"/>
  <c r="K49" i="1"/>
  <c r="X54" i="1"/>
  <c r="L53" i="1" l="1"/>
  <c r="L55" i="1" s="1"/>
  <c r="L61" i="1"/>
  <c r="L64" i="1"/>
  <c r="Z36" i="1"/>
  <c r="V41" i="1"/>
  <c r="V38" i="1"/>
  <c r="V37" i="1"/>
  <c r="W35" i="1" s="1"/>
  <c r="Y54" i="1"/>
  <c r="U42" i="1"/>
  <c r="U46" i="1" s="1"/>
  <c r="U45" i="1"/>
  <c r="K71" i="1"/>
  <c r="K72" i="1" s="1"/>
  <c r="K65" i="1"/>
  <c r="U47" i="1" l="1"/>
  <c r="W38" i="1"/>
  <c r="W41" i="1"/>
  <c r="W37" i="1"/>
  <c r="X35" i="1" s="1"/>
  <c r="V45" i="1"/>
  <c r="V42" i="1"/>
  <c r="V46" i="1" s="1"/>
  <c r="AA36" i="1"/>
  <c r="Z54" i="1"/>
  <c r="L60" i="1"/>
  <c r="L56" i="1"/>
  <c r="M52" i="1" s="1"/>
  <c r="L66" i="1"/>
  <c r="L49" i="1"/>
  <c r="L71" i="1" l="1"/>
  <c r="L72" i="1" s="1"/>
  <c r="L65" i="1"/>
  <c r="AA54" i="1"/>
  <c r="AB36" i="1"/>
  <c r="V47" i="1"/>
  <c r="M53" i="1"/>
  <c r="M55" i="1" s="1"/>
  <c r="M61" i="1"/>
  <c r="M64" i="1"/>
  <c r="X41" i="1"/>
  <c r="X38" i="1"/>
  <c r="X37" i="1"/>
  <c r="Y35" i="1" s="1"/>
  <c r="W42" i="1"/>
  <c r="W46" i="1" s="1"/>
  <c r="W45" i="1"/>
  <c r="W47" i="1" s="1"/>
  <c r="Y41" i="1" l="1"/>
  <c r="Y38" i="1"/>
  <c r="Y37" i="1"/>
  <c r="Z35" i="1" s="1"/>
  <c r="M56" i="1"/>
  <c r="N52" i="1" s="1"/>
  <c r="M60" i="1"/>
  <c r="M66" i="1"/>
  <c r="M49" i="1"/>
  <c r="AC36" i="1"/>
  <c r="X42" i="1"/>
  <c r="X46" i="1" s="1"/>
  <c r="X45" i="1"/>
  <c r="X47" i="1" s="1"/>
  <c r="AB54" i="1"/>
  <c r="AC54" i="1" l="1"/>
  <c r="M71" i="1"/>
  <c r="M72" i="1" s="1"/>
  <c r="M65" i="1"/>
  <c r="N61" i="1"/>
  <c r="N53" i="1"/>
  <c r="N55" i="1" s="1"/>
  <c r="Z41" i="1"/>
  <c r="Z38" i="1"/>
  <c r="Z37" i="1"/>
  <c r="AA35" i="1" s="1"/>
  <c r="AD36" i="1"/>
  <c r="Y45" i="1"/>
  <c r="Y42" i="1"/>
  <c r="Y46" i="1" s="1"/>
  <c r="Z45" i="1" l="1"/>
  <c r="Z42" i="1"/>
  <c r="Z46" i="1" s="1"/>
  <c r="N56" i="1"/>
  <c r="O52" i="1" s="1"/>
  <c r="N60" i="1"/>
  <c r="N49" i="1"/>
  <c r="Y47" i="1"/>
  <c r="AE36" i="1"/>
  <c r="AA41" i="1"/>
  <c r="AA38" i="1"/>
  <c r="AA37" i="1"/>
  <c r="AB35" i="1" s="1"/>
  <c r="AD54" i="1"/>
  <c r="AB38" i="1" l="1"/>
  <c r="AB41" i="1"/>
  <c r="AB37" i="1"/>
  <c r="AC35" i="1" s="1"/>
  <c r="AF36" i="1"/>
  <c r="AE54" i="1"/>
  <c r="O53" i="1"/>
  <c r="O55" i="1" s="1"/>
  <c r="O61" i="1"/>
  <c r="AA45" i="1"/>
  <c r="AA42" i="1"/>
  <c r="AA46" i="1" s="1"/>
  <c r="Z47" i="1"/>
  <c r="O56" i="1" l="1"/>
  <c r="P52" i="1" s="1"/>
  <c r="O60" i="1"/>
  <c r="O49" i="1"/>
  <c r="AF54" i="1"/>
  <c r="AG36" i="1"/>
  <c r="AC41" i="1"/>
  <c r="AC38" i="1"/>
  <c r="AC37" i="1"/>
  <c r="AD35" i="1" s="1"/>
  <c r="AA47" i="1"/>
  <c r="AB42" i="1"/>
  <c r="AB46" i="1" s="1"/>
  <c r="AB45" i="1"/>
  <c r="AB47" i="1" l="1"/>
  <c r="AC45" i="1"/>
  <c r="AC42" i="1"/>
  <c r="AC46" i="1" s="1"/>
  <c r="AG54" i="1"/>
  <c r="AH36" i="1"/>
  <c r="AD38" i="1"/>
  <c r="AD41" i="1"/>
  <c r="AD37" i="1"/>
  <c r="AE35" i="1" s="1"/>
  <c r="P61" i="1"/>
  <c r="P53" i="1"/>
  <c r="P55" i="1" s="1"/>
  <c r="AD42" i="1" l="1"/>
  <c r="AD46" i="1" s="1"/>
  <c r="AD45" i="1"/>
  <c r="AD47" i="1" s="1"/>
  <c r="AH54" i="1"/>
  <c r="AI36" i="1"/>
  <c r="P60" i="1"/>
  <c r="P56" i="1"/>
  <c r="Q52" i="1" s="1"/>
  <c r="P49" i="1"/>
  <c r="AE41" i="1"/>
  <c r="AE38" i="1"/>
  <c r="AE37" i="1"/>
  <c r="AF35" i="1" s="1"/>
  <c r="AC47" i="1"/>
  <c r="AF38" i="1" l="1"/>
  <c r="AF41" i="1"/>
  <c r="AF37" i="1"/>
  <c r="AG35" i="1" s="1"/>
  <c r="Q61" i="1"/>
  <c r="Q53" i="1"/>
  <c r="Q55" i="1" s="1"/>
  <c r="AJ36" i="1"/>
  <c r="AI54" i="1"/>
  <c r="AE42" i="1"/>
  <c r="AE46" i="1" s="1"/>
  <c r="AE45" i="1"/>
  <c r="AE47" i="1" l="1"/>
  <c r="AK36" i="1"/>
  <c r="Q56" i="1"/>
  <c r="R52" i="1" s="1"/>
  <c r="Q60" i="1"/>
  <c r="Q49" i="1"/>
  <c r="AG41" i="1"/>
  <c r="AG38" i="1"/>
  <c r="AG37" i="1"/>
  <c r="AH35" i="1" s="1"/>
  <c r="AF45" i="1"/>
  <c r="AF42" i="1"/>
  <c r="AF46" i="1" s="1"/>
  <c r="AJ54" i="1"/>
  <c r="AH38" i="1" l="1"/>
  <c r="AH41" i="1"/>
  <c r="AH37" i="1"/>
  <c r="AI35" i="1" s="1"/>
  <c r="AG45" i="1"/>
  <c r="AG42" i="1"/>
  <c r="AG46" i="1" s="1"/>
  <c r="AK54" i="1"/>
  <c r="R53" i="1"/>
  <c r="R55" i="1" s="1"/>
  <c r="R61" i="1"/>
  <c r="AF47" i="1"/>
  <c r="AL36" i="1"/>
  <c r="AL54" i="1" l="1"/>
  <c r="AM36" i="1"/>
  <c r="R60" i="1"/>
  <c r="R56" i="1"/>
  <c r="S52" i="1" s="1"/>
  <c r="R49" i="1"/>
  <c r="AG47" i="1"/>
  <c r="AI38" i="1"/>
  <c r="AI37" i="1"/>
  <c r="AJ35" i="1" s="1"/>
  <c r="AH42" i="1"/>
  <c r="AH46" i="1" s="1"/>
  <c r="AH45" i="1"/>
  <c r="AH47" i="1" l="1"/>
  <c r="S61" i="1"/>
  <c r="S53" i="1"/>
  <c r="S55" i="1" s="1"/>
  <c r="AN36" i="1"/>
  <c r="AJ38" i="1"/>
  <c r="AJ37" i="1"/>
  <c r="AK35" i="1" s="1"/>
  <c r="AM54" i="1"/>
  <c r="AN54" i="1" l="1"/>
  <c r="AK38" i="1"/>
  <c r="AK37" i="1"/>
  <c r="AL35" i="1" s="1"/>
  <c r="AO36" i="1"/>
  <c r="S60" i="1"/>
  <c r="S56" i="1"/>
  <c r="T52" i="1" s="1"/>
  <c r="S49" i="1"/>
  <c r="T61" i="1" l="1"/>
  <c r="T53" i="1"/>
  <c r="T55" i="1" s="1"/>
  <c r="AP36" i="1"/>
  <c r="AL38" i="1"/>
  <c r="AL37" i="1"/>
  <c r="AM35" i="1" s="1"/>
  <c r="AO54" i="1"/>
  <c r="AP54" i="1" l="1"/>
  <c r="AM38" i="1"/>
  <c r="AM37" i="1"/>
  <c r="AN35" i="1" s="1"/>
  <c r="AQ36" i="1"/>
  <c r="T60" i="1"/>
  <c r="T56" i="1"/>
  <c r="U52" i="1" s="1"/>
  <c r="T49" i="1"/>
  <c r="U61" i="1" l="1"/>
  <c r="U53" i="1"/>
  <c r="U55" i="1" s="1"/>
  <c r="AR36" i="1"/>
  <c r="AN38" i="1"/>
  <c r="AN37" i="1"/>
  <c r="AO35" i="1" s="1"/>
  <c r="AQ54" i="1"/>
  <c r="AR54" i="1" l="1"/>
  <c r="AO38" i="1"/>
  <c r="AO37" i="1"/>
  <c r="AP35" i="1" s="1"/>
  <c r="AS36" i="1"/>
  <c r="U60" i="1"/>
  <c r="U56" i="1"/>
  <c r="V52" i="1" s="1"/>
  <c r="U49" i="1"/>
  <c r="V61" i="1" l="1"/>
  <c r="V53" i="1"/>
  <c r="V55" i="1" s="1"/>
  <c r="AT36" i="1"/>
  <c r="AP38" i="1"/>
  <c r="AP37" i="1"/>
  <c r="AQ35" i="1" s="1"/>
  <c r="AS54" i="1"/>
  <c r="AT54" i="1" l="1"/>
  <c r="AQ38" i="1"/>
  <c r="AQ37" i="1"/>
  <c r="AR35" i="1" s="1"/>
  <c r="AU36" i="1"/>
  <c r="V60" i="1"/>
  <c r="V56" i="1"/>
  <c r="W52" i="1" s="1"/>
  <c r="V49" i="1"/>
  <c r="W61" i="1" l="1"/>
  <c r="W53" i="1"/>
  <c r="W55" i="1" s="1"/>
  <c r="AV36" i="1"/>
  <c r="AR38" i="1"/>
  <c r="AR37" i="1"/>
  <c r="AS35" i="1" s="1"/>
  <c r="AU54" i="1"/>
  <c r="AS38" i="1" l="1"/>
  <c r="AS37" i="1"/>
  <c r="AT35" i="1" s="1"/>
  <c r="AW36" i="1"/>
  <c r="W60" i="1"/>
  <c r="W56" i="1"/>
  <c r="X52" i="1" s="1"/>
  <c r="W49" i="1"/>
  <c r="X61" i="1" l="1"/>
  <c r="X53" i="1"/>
  <c r="X55" i="1" s="1"/>
  <c r="AX36" i="1"/>
  <c r="AT38" i="1"/>
  <c r="AT37" i="1"/>
  <c r="AU35" i="1" s="1"/>
  <c r="AU38" i="1" l="1"/>
  <c r="AU37" i="1"/>
  <c r="AV35" i="1" s="1"/>
  <c r="AY36" i="1"/>
  <c r="X60" i="1"/>
  <c r="X56" i="1"/>
  <c r="Y52" i="1" s="1"/>
  <c r="X49" i="1"/>
  <c r="Y61" i="1" l="1"/>
  <c r="Y53" i="1"/>
  <c r="Y55" i="1" s="1"/>
  <c r="AZ36" i="1"/>
  <c r="AV38" i="1"/>
  <c r="AV37" i="1"/>
  <c r="AW35" i="1" s="1"/>
  <c r="AW38" i="1" l="1"/>
  <c r="AW37" i="1"/>
  <c r="AX35" i="1" s="1"/>
  <c r="BA36" i="1"/>
  <c r="Y60" i="1"/>
  <c r="Y56" i="1"/>
  <c r="Z52" i="1" s="1"/>
  <c r="Y49" i="1"/>
  <c r="Z61" i="1" l="1"/>
  <c r="Z53" i="1"/>
  <c r="Z55" i="1" s="1"/>
  <c r="BB36" i="1"/>
  <c r="AX38" i="1"/>
  <c r="AX37" i="1"/>
  <c r="AY35" i="1" s="1"/>
  <c r="AY38" i="1" l="1"/>
  <c r="AY37" i="1"/>
  <c r="AZ35" i="1" s="1"/>
  <c r="BC36" i="1"/>
  <c r="Z60" i="1"/>
  <c r="Z56" i="1"/>
  <c r="AA52" i="1" s="1"/>
  <c r="Z49" i="1"/>
  <c r="AA61" i="1" l="1"/>
  <c r="AA53" i="1"/>
  <c r="AA55" i="1" s="1"/>
  <c r="BD36" i="1"/>
  <c r="AZ38" i="1"/>
  <c r="AZ37" i="1"/>
  <c r="BA35" i="1" s="1"/>
  <c r="BA38" i="1" l="1"/>
  <c r="BA37" i="1"/>
  <c r="BB35" i="1" s="1"/>
  <c r="BE36" i="1"/>
  <c r="AA60" i="1"/>
  <c r="AA56" i="1"/>
  <c r="AB52" i="1" s="1"/>
  <c r="AA49" i="1"/>
  <c r="AB61" i="1" l="1"/>
  <c r="AB53" i="1"/>
  <c r="AB55" i="1" s="1"/>
  <c r="BF36" i="1"/>
  <c r="BB38" i="1"/>
  <c r="BB37" i="1"/>
  <c r="BC35" i="1" s="1"/>
  <c r="BC38" i="1" l="1"/>
  <c r="BC37" i="1"/>
  <c r="BD35" i="1" s="1"/>
  <c r="BG36" i="1"/>
  <c r="AB60" i="1"/>
  <c r="AB56" i="1"/>
  <c r="AC52" i="1" s="1"/>
  <c r="AB49" i="1"/>
  <c r="AC61" i="1" l="1"/>
  <c r="AC53" i="1"/>
  <c r="AC55" i="1" s="1"/>
  <c r="BH36" i="1"/>
  <c r="BD38" i="1"/>
  <c r="BD37" i="1"/>
  <c r="BE35" i="1" s="1"/>
  <c r="BE38" i="1" l="1"/>
  <c r="BE37" i="1"/>
  <c r="BF35" i="1" s="1"/>
  <c r="BI36" i="1"/>
  <c r="AC60" i="1"/>
  <c r="AC56" i="1"/>
  <c r="AD52" i="1" s="1"/>
  <c r="AC49" i="1"/>
  <c r="AD61" i="1" l="1"/>
  <c r="AD53" i="1"/>
  <c r="AD55" i="1" s="1"/>
  <c r="BJ36" i="1"/>
  <c r="BF38" i="1"/>
  <c r="BF37" i="1"/>
  <c r="BG35" i="1" s="1"/>
  <c r="BG38" i="1" l="1"/>
  <c r="BG37" i="1"/>
  <c r="BH35" i="1" s="1"/>
  <c r="BK36" i="1"/>
  <c r="AD56" i="1"/>
  <c r="AE52" i="1" s="1"/>
  <c r="AE53" i="1" s="1"/>
  <c r="AE55" i="1" s="1"/>
  <c r="AD60" i="1"/>
  <c r="AD49" i="1"/>
  <c r="AE60" i="1" l="1"/>
  <c r="AE56" i="1"/>
  <c r="AF52" i="1" s="1"/>
  <c r="AF53" i="1" s="1"/>
  <c r="AF55" i="1" s="1"/>
  <c r="AE49" i="1"/>
  <c r="BL36" i="1"/>
  <c r="BH38" i="1"/>
  <c r="BH37" i="1"/>
  <c r="BI35" i="1" s="1"/>
  <c r="BI38" i="1" l="1"/>
  <c r="BI37" i="1"/>
  <c r="BJ35" i="1" s="1"/>
  <c r="BM36" i="1"/>
  <c r="AF60" i="1"/>
  <c r="AF56" i="1"/>
  <c r="AG52" i="1" s="1"/>
  <c r="AG53" i="1" s="1"/>
  <c r="AG55" i="1" s="1"/>
  <c r="AF49" i="1"/>
  <c r="AG60" i="1" l="1"/>
  <c r="AG56" i="1"/>
  <c r="AH52" i="1" s="1"/>
  <c r="AH53" i="1" s="1"/>
  <c r="AH55" i="1" s="1"/>
  <c r="AG49" i="1"/>
  <c r="BN36" i="1"/>
  <c r="BJ38" i="1"/>
  <c r="BJ37" i="1"/>
  <c r="BK35" i="1" s="1"/>
  <c r="BK38" i="1" l="1"/>
  <c r="BK37" i="1"/>
  <c r="BL35" i="1" s="1"/>
  <c r="BO36" i="1"/>
  <c r="AH56" i="1"/>
  <c r="AI52" i="1" s="1"/>
  <c r="AI53" i="1" s="1"/>
  <c r="AI55" i="1" s="1"/>
  <c r="AH60" i="1"/>
  <c r="AH49" i="1"/>
  <c r="AI56" i="1" l="1"/>
  <c r="AJ52" i="1" s="1"/>
  <c r="AJ53" i="1" s="1"/>
  <c r="AJ55" i="1" s="1"/>
  <c r="AI60" i="1"/>
  <c r="AI49" i="1"/>
  <c r="BP36" i="1"/>
  <c r="BL38" i="1"/>
  <c r="BL37" i="1"/>
  <c r="BM35" i="1" s="1"/>
  <c r="BM38" i="1" l="1"/>
  <c r="BM37" i="1"/>
  <c r="BN35" i="1" s="1"/>
  <c r="BQ36" i="1"/>
  <c r="AJ60" i="1"/>
  <c r="AJ56" i="1"/>
  <c r="AK52" i="1" s="1"/>
  <c r="AK53" i="1" s="1"/>
  <c r="AK55" i="1" s="1"/>
  <c r="AJ49" i="1"/>
  <c r="AK60" i="1" l="1"/>
  <c r="AK56" i="1"/>
  <c r="AL52" i="1" s="1"/>
  <c r="AL53" i="1" s="1"/>
  <c r="AL55" i="1" s="1"/>
  <c r="AK49" i="1"/>
  <c r="BN38" i="1"/>
  <c r="BN37" i="1"/>
  <c r="BO35" i="1" s="1"/>
  <c r="BO38" i="1" l="1"/>
  <c r="BO37" i="1"/>
  <c r="BP35" i="1" s="1"/>
  <c r="AL60" i="1"/>
  <c r="AL56" i="1"/>
  <c r="AM52" i="1" s="1"/>
  <c r="AM53" i="1" s="1"/>
  <c r="AM55" i="1" s="1"/>
  <c r="AL49" i="1"/>
  <c r="AM60" i="1" l="1"/>
  <c r="AM56" i="1"/>
  <c r="AN52" i="1" s="1"/>
  <c r="AN53" i="1" s="1"/>
  <c r="AN55" i="1" s="1"/>
  <c r="AM49" i="1"/>
  <c r="BP38" i="1"/>
  <c r="BP37" i="1"/>
  <c r="BQ35" i="1" s="1"/>
  <c r="BQ38" i="1" l="1"/>
  <c r="BQ37" i="1"/>
  <c r="AN60" i="1"/>
  <c r="AN56" i="1"/>
  <c r="AO52" i="1" s="1"/>
  <c r="AO53" i="1" s="1"/>
  <c r="AO55" i="1" s="1"/>
  <c r="AN49" i="1"/>
  <c r="C39" i="1" l="1"/>
  <c r="E27" i="1" s="1"/>
  <c r="E28" i="1" s="1"/>
  <c r="AO60" i="1"/>
  <c r="AO56" i="1"/>
  <c r="AP52" i="1" s="1"/>
  <c r="AP53" i="1" s="1"/>
  <c r="AP55" i="1" s="1"/>
  <c r="AO49" i="1"/>
  <c r="D27" i="4" l="1"/>
  <c r="D24" i="2"/>
  <c r="AP56" i="1"/>
  <c r="AQ52" i="1" s="1"/>
  <c r="AQ53" i="1" s="1"/>
  <c r="AQ55" i="1" s="1"/>
  <c r="AP60" i="1"/>
  <c r="AP49" i="1"/>
  <c r="AQ56" i="1" l="1"/>
  <c r="AR52" i="1" s="1"/>
  <c r="AR53" i="1" s="1"/>
  <c r="AR55" i="1" s="1"/>
  <c r="AQ60" i="1"/>
  <c r="AQ49" i="1"/>
  <c r="AR60" i="1" l="1"/>
  <c r="AR56" i="1"/>
  <c r="AS52" i="1" s="1"/>
  <c r="AS53" i="1" s="1"/>
  <c r="AS55" i="1" s="1"/>
  <c r="AR49" i="1"/>
  <c r="AS56" i="1" l="1"/>
  <c r="AT52" i="1" s="1"/>
  <c r="AT53" i="1" s="1"/>
  <c r="AT55" i="1" s="1"/>
  <c r="AS60" i="1"/>
  <c r="AS49" i="1"/>
  <c r="AT56" i="1" l="1"/>
  <c r="AU52" i="1" s="1"/>
  <c r="AU53" i="1" s="1"/>
  <c r="AU55" i="1" s="1"/>
  <c r="AT60" i="1"/>
  <c r="AT49" i="1"/>
  <c r="AU56" i="1" l="1"/>
  <c r="AU60" i="1"/>
  <c r="AU49" i="1"/>
  <c r="D58" i="1" s="1"/>
</calcChain>
</file>

<file path=xl/sharedStrings.xml><?xml version="1.0" encoding="utf-8"?>
<sst xmlns="http://schemas.openxmlformats.org/spreadsheetml/2006/main" count="128" uniqueCount="85">
  <si>
    <t>Contribution</t>
  </si>
  <si>
    <t>API</t>
  </si>
  <si>
    <t>CPI</t>
  </si>
  <si>
    <t>Net Return</t>
  </si>
  <si>
    <t>Retirement Age</t>
  </si>
  <si>
    <t>Retirement Duration</t>
  </si>
  <si>
    <t>Age</t>
  </si>
  <si>
    <t>Current Savings</t>
  </si>
  <si>
    <t>PMT</t>
  </si>
  <si>
    <t>Income Required</t>
  </si>
  <si>
    <t>Retirement Value</t>
  </si>
  <si>
    <t>Retirement Achieved %</t>
  </si>
  <si>
    <t>Total Required</t>
  </si>
  <si>
    <t>Required at Retirement</t>
  </si>
  <si>
    <t>Income</t>
  </si>
  <si>
    <t>Monthly at Retirement</t>
  </si>
  <si>
    <t>Future Value</t>
  </si>
  <si>
    <t>Return at Retirement</t>
  </si>
  <si>
    <t>Graph</t>
  </si>
  <si>
    <t>Retirement Fund</t>
  </si>
  <si>
    <t>Yearly Drawdown</t>
  </si>
  <si>
    <t>Retirement Count</t>
  </si>
  <si>
    <t>Your retirement plan would most probably be suffiicient wiith the given scenario</t>
  </si>
  <si>
    <t>Client Name</t>
  </si>
  <si>
    <t>Retirement Planning</t>
  </si>
  <si>
    <t>Current Projected Value</t>
  </si>
  <si>
    <t xml:space="preserve">Current inflation and inflation at retirement plays a big role in terms of the sufficiency. </t>
  </si>
  <si>
    <t>For illustration purposes only</t>
  </si>
  <si>
    <t>Other current investments are not brought into calculation.</t>
  </si>
  <si>
    <t>Current inflation and inflation at retirement would create different fluctuations on sufficiency.</t>
  </si>
  <si>
    <t>Annual Income</t>
  </si>
  <si>
    <t>Bank Interest Rate</t>
  </si>
  <si>
    <t>Reinvest CPI</t>
  </si>
  <si>
    <t>Net</t>
  </si>
  <si>
    <t>Reinvest</t>
  </si>
  <si>
    <t>What is left</t>
  </si>
  <si>
    <t>Tax</t>
  </si>
  <si>
    <t>Current vs reinvest</t>
  </si>
  <si>
    <t>Taxable Income</t>
  </si>
  <si>
    <t>Break even</t>
  </si>
  <si>
    <t>Invest Amount</t>
  </si>
  <si>
    <t>Remaining</t>
  </si>
  <si>
    <t>CPI + 1</t>
  </si>
  <si>
    <t>Invest</t>
  </si>
  <si>
    <t>Reinvestment</t>
  </si>
  <si>
    <t>Interest</t>
  </si>
  <si>
    <t>Withdrawal</t>
  </si>
  <si>
    <t>Inflation 4%</t>
  </si>
  <si>
    <t>Draw</t>
  </si>
  <si>
    <t>Period</t>
  </si>
  <si>
    <t>Present Value</t>
  </si>
  <si>
    <t>R6000 Option</t>
  </si>
  <si>
    <t>R10000 Option</t>
  </si>
  <si>
    <t>Start</t>
  </si>
  <si>
    <t>Year End</t>
  </si>
  <si>
    <t>Payment</t>
  </si>
  <si>
    <t>Contributed</t>
  </si>
  <si>
    <t>Income Max</t>
  </si>
  <si>
    <t>Actual Results</t>
  </si>
  <si>
    <t>End of Year</t>
  </si>
  <si>
    <t>Max Income</t>
  </si>
  <si>
    <t>Year Count</t>
  </si>
  <si>
    <t>In</t>
  </si>
  <si>
    <t>Fund</t>
  </si>
  <si>
    <t>In Re</t>
  </si>
  <si>
    <t>In Granted</t>
  </si>
  <si>
    <t>PV</t>
  </si>
  <si>
    <t>Today</t>
  </si>
  <si>
    <t>Want</t>
  </si>
  <si>
    <t>Yolandi</t>
  </si>
  <si>
    <t xml:space="preserve">Retirement Planning </t>
  </si>
  <si>
    <t>*</t>
  </si>
  <si>
    <t>Annual Premium Increase</t>
  </si>
  <si>
    <t>Inflation</t>
  </si>
  <si>
    <t>Return Pre-Retirement</t>
  </si>
  <si>
    <t>Current Savings: What you currently have saved for retirement</t>
  </si>
  <si>
    <t>Contribution: What you want to put away for retirement</t>
  </si>
  <si>
    <t>Annual Premium Increase: What percentage does the monthly amount increase every year. For example 10% on R2000 would be R200 on the first year and this keeps increasing by 10% every year</t>
  </si>
  <si>
    <t>Inflation: The average change in price over time. Lower inflation means that you would need less at retirement. The stronger your economy the more beneficial it will be for citizens to save for retirement. When you lower this number you will see drastic changes towards what you need at retirement. We usually work from 5% as an indicator</t>
  </si>
  <si>
    <t>Return Pre-Retirement: The returns you expect before retirement. You can go with higher risk when retirement is a long time away but in retirement you don't want to have the same risk.</t>
  </si>
  <si>
    <t>Return at Retirement: The returns you expect when you have retired. You can go with higher risk when retirement is a long time away but in retirement you don't want to have the same risk.</t>
  </si>
  <si>
    <t>Retirement duration: How many years do you want your retirement money to last</t>
  </si>
  <si>
    <t>Income Required: This is very important to use the income you would require if you had to retire today</t>
  </si>
  <si>
    <r>
      <t xml:space="preserve">* </t>
    </r>
    <r>
      <rPr>
        <sz val="10"/>
        <color rgb="FF0C4E72"/>
        <rFont val="Arial Rounded MT Bold"/>
        <family val="2"/>
      </rPr>
      <t>(Income Required if you had to retire today)</t>
    </r>
  </si>
  <si>
    <t>Your current savings and economic assumptions (descriptions at bottom of the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</si>
</sst>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R&quot;#,##0_);[Red]\(&quot;R&quot;#,##0\)"/>
    <numFmt numFmtId="8" formatCode="&quot;R&quot;#,##0.00_);[Red]\(&quot;R&quot;#,##0.00\)"/>
    <numFmt numFmtId="44" formatCode="_(&quot;R&quot;* #,##0.00_);_(&quot;R&quot;* \(#,##0.00\);_(&quot;R&quot;* &quot;-&quot;??_);_(@_)"/>
    <numFmt numFmtId="43" formatCode="_(* #,##0.00_);_(* \(#,##0.00\);_(* &quot;-&quot;??_);_(@_)"/>
    <numFmt numFmtId="164" formatCode="&quot;R&quot;#,##0.00"/>
    <numFmt numFmtId="165" formatCode="&quot;R&quot;#,##0"/>
    <numFmt numFmtId="169" formatCode="_(* #,##0_);_(* \(#,##0\);_(* &quot;-&quot;??_);_(@_)"/>
  </numFmts>
  <fonts count="21">
    <font>
      <sz val="12"/>
      <color theme="1"/>
      <name val="Calibri"/>
      <family val="2"/>
      <scheme val="minor"/>
    </font>
    <font>
      <sz val="12"/>
      <color theme="1"/>
      <name val="Calibri"/>
      <family val="2"/>
      <scheme val="minor"/>
    </font>
    <font>
      <b/>
      <sz val="18"/>
      <color rgb="FF002060"/>
      <name val="Helvetica"/>
      <family val="2"/>
    </font>
    <font>
      <sz val="12"/>
      <color theme="1"/>
      <name val="Helvetica"/>
      <family val="2"/>
    </font>
    <font>
      <sz val="18"/>
      <color theme="1"/>
      <name val="Helvetica"/>
      <family val="2"/>
    </font>
    <font>
      <sz val="18"/>
      <color theme="1"/>
      <name val="Calibri"/>
      <family val="2"/>
      <scheme val="minor"/>
    </font>
    <font>
      <sz val="12"/>
      <color theme="0"/>
      <name val="Calibri"/>
      <family val="2"/>
      <scheme val="minor"/>
    </font>
    <font>
      <sz val="12"/>
      <color theme="0"/>
      <name val="Arial Rounded MT Bold"/>
      <family val="2"/>
    </font>
    <font>
      <sz val="12"/>
      <color rgb="FF0B152E"/>
      <name val="Calibri"/>
      <family val="2"/>
      <scheme val="minor"/>
    </font>
    <font>
      <b/>
      <i/>
      <sz val="26"/>
      <color rgb="FF0B152E"/>
      <name val="Arial Rounded MT Bold"/>
      <family val="2"/>
    </font>
    <font>
      <sz val="12"/>
      <color rgb="FF0B152E"/>
      <name val="Arial Rounded MT Bold"/>
      <family val="2"/>
    </font>
    <font>
      <b/>
      <i/>
      <sz val="22"/>
      <color rgb="FF0B152E"/>
      <name val="Arial Rounded MT Bold"/>
      <family val="2"/>
    </font>
    <font>
      <b/>
      <i/>
      <sz val="72"/>
      <color rgb="FF0C4E72"/>
      <name val="Arial Rounded MT Bold"/>
      <family val="2"/>
    </font>
    <font>
      <sz val="22"/>
      <color rgb="FF0C4E72"/>
      <name val="Arial Rounded MT Bold"/>
      <family val="2"/>
    </font>
    <font>
      <sz val="12"/>
      <color rgb="FF0C4E72"/>
      <name val="Arial Rounded MT Bold"/>
      <family val="2"/>
    </font>
    <font>
      <b/>
      <i/>
      <sz val="22"/>
      <color rgb="FF0C4E72"/>
      <name val="Arial Rounded MT Bold"/>
      <family val="2"/>
    </font>
    <font>
      <b/>
      <sz val="18"/>
      <color rgb="FF0C4E72"/>
      <name val="Arial Rounded MT Bold"/>
      <family val="2"/>
    </font>
    <font>
      <sz val="18"/>
      <color rgb="FF0C4E72"/>
      <name val="Arial Rounded MT Bold"/>
      <family val="2"/>
    </font>
    <font>
      <sz val="10"/>
      <color rgb="FF0C4E72"/>
      <name val="Arial Rounded MT Bold"/>
      <family val="2"/>
    </font>
    <font>
      <b/>
      <sz val="18"/>
      <color theme="1"/>
      <name val="Helvetica"/>
      <family val="2"/>
    </font>
    <font>
      <b/>
      <i/>
      <sz val="22"/>
      <color theme="1"/>
      <name val="Helvetica"/>
      <family val="2"/>
    </font>
  </fonts>
  <fills count="5">
    <fill>
      <patternFill patternType="none"/>
    </fill>
    <fill>
      <patternFill patternType="gray125"/>
    </fill>
    <fill>
      <patternFill patternType="solid">
        <fgColor theme="0"/>
        <bgColor indexed="64"/>
      </patternFill>
    </fill>
    <fill>
      <patternFill patternType="solid">
        <fgColor rgb="FFFBFBFB"/>
        <bgColor indexed="64"/>
      </patternFill>
    </fill>
    <fill>
      <patternFill patternType="solid">
        <fgColor theme="1"/>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4">
    <xf numFmtId="0" fontId="0" fillId="0" borderId="0" xfId="0"/>
    <xf numFmtId="0" fontId="0" fillId="2" borderId="0" xfId="0" applyFill="1"/>
    <xf numFmtId="0" fontId="0" fillId="0" borderId="0" xfId="0" applyFill="1"/>
    <xf numFmtId="0" fontId="6" fillId="0" borderId="0" xfId="0" applyFont="1" applyFill="1"/>
    <xf numFmtId="0" fontId="0" fillId="3" borderId="0" xfId="0" applyFill="1"/>
    <xf numFmtId="0" fontId="2" fillId="3" borderId="0" xfId="0" applyFont="1" applyFill="1"/>
    <xf numFmtId="0" fontId="8" fillId="3" borderId="0" xfId="0" applyFont="1" applyFill="1"/>
    <xf numFmtId="0" fontId="9" fillId="3" borderId="0" xfId="0" applyFont="1" applyFill="1"/>
    <xf numFmtId="0" fontId="10" fillId="3" borderId="0" xfId="0" applyFont="1" applyFill="1"/>
    <xf numFmtId="0" fontId="11" fillId="3" borderId="0" xfId="0" applyFont="1" applyFill="1"/>
    <xf numFmtId="0" fontId="6" fillId="3" borderId="0" xfId="0" applyFont="1" applyFill="1"/>
    <xf numFmtId="0" fontId="7" fillId="3" borderId="0" xfId="0" applyFont="1" applyFill="1"/>
    <xf numFmtId="0" fontId="12" fillId="3" borderId="0" xfId="0" applyFont="1" applyFill="1" applyAlignment="1">
      <alignment horizontal="center" vertical="center"/>
    </xf>
    <xf numFmtId="0" fontId="13" fillId="3" borderId="0" xfId="0" applyFont="1"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7" fillId="3" borderId="0" xfId="0" applyFont="1" applyFill="1" applyAlignment="1">
      <alignment horizontal="right"/>
    </xf>
    <xf numFmtId="165" fontId="17" fillId="3" borderId="0" xfId="0" applyNumberFormat="1" applyFont="1" applyFill="1" applyAlignment="1">
      <alignment horizontal="right"/>
    </xf>
    <xf numFmtId="6" fontId="17" fillId="3" borderId="0" xfId="0" applyNumberFormat="1" applyFont="1" applyFill="1" applyAlignment="1">
      <alignment horizontal="right"/>
    </xf>
    <xf numFmtId="6" fontId="14" fillId="3" borderId="0" xfId="0" applyNumberFormat="1" applyFont="1" applyFill="1" applyAlignment="1">
      <alignment horizontal="center"/>
    </xf>
    <xf numFmtId="8" fontId="17" fillId="3" borderId="0" xfId="0" applyNumberFormat="1" applyFont="1" applyFill="1"/>
    <xf numFmtId="0" fontId="17" fillId="3" borderId="0" xfId="0" applyFont="1" applyFill="1" applyAlignment="1">
      <alignment horizontal="left"/>
    </xf>
    <xf numFmtId="0" fontId="14" fillId="3" borderId="0" xfId="0" applyFont="1" applyFill="1" applyAlignment="1">
      <alignment horizontal="left"/>
    </xf>
    <xf numFmtId="0" fontId="0" fillId="3" borderId="0" xfId="0" applyFill="1" applyAlignment="1">
      <alignment horizontal="left" wrapText="1"/>
    </xf>
    <xf numFmtId="0" fontId="14" fillId="3" borderId="0" xfId="0" applyFont="1" applyFill="1" applyAlignment="1">
      <alignment vertical="center"/>
    </xf>
    <xf numFmtId="0" fontId="17" fillId="3" borderId="0" xfId="0" applyFont="1" applyFill="1" applyAlignment="1">
      <alignment vertical="center"/>
    </xf>
    <xf numFmtId="0" fontId="4" fillId="4" borderId="3" xfId="0" applyFont="1" applyFill="1" applyBorder="1"/>
    <xf numFmtId="0" fontId="4" fillId="4" borderId="3" xfId="0" applyFont="1" applyFill="1" applyBorder="1" applyAlignment="1">
      <alignment horizontal="center"/>
    </xf>
    <xf numFmtId="165" fontId="4" fillId="4" borderId="3" xfId="0" applyNumberFormat="1" applyFont="1" applyFill="1" applyBorder="1" applyAlignment="1">
      <alignment horizontal="center"/>
    </xf>
    <xf numFmtId="9" fontId="4" fillId="4" borderId="3" xfId="2" applyFont="1" applyFill="1" applyBorder="1" applyAlignment="1">
      <alignment horizontal="center"/>
    </xf>
    <xf numFmtId="0" fontId="4" fillId="4" borderId="0" xfId="0" applyFont="1" applyFill="1"/>
    <xf numFmtId="6" fontId="4" fillId="4" borderId="3" xfId="0" applyNumberFormat="1" applyFont="1" applyFill="1" applyBorder="1" applyAlignment="1">
      <alignment horizontal="center"/>
    </xf>
    <xf numFmtId="6" fontId="3" fillId="4" borderId="0" xfId="0" applyNumberFormat="1" applyFont="1" applyFill="1" applyAlignment="1">
      <alignment horizontal="center"/>
    </xf>
    <xf numFmtId="8" fontId="5" fillId="4" borderId="0" xfId="0" applyNumberFormat="1" applyFont="1" applyFill="1"/>
    <xf numFmtId="0" fontId="5" fillId="4" borderId="0" xfId="0" applyFont="1" applyFill="1" applyAlignment="1">
      <alignment horizontal="left"/>
    </xf>
    <xf numFmtId="0" fontId="19" fillId="4" borderId="0" xfId="0" applyFont="1" applyFill="1"/>
    <xf numFmtId="0" fontId="0" fillId="4" borderId="0" xfId="0" applyFont="1" applyFill="1"/>
    <xf numFmtId="0" fontId="20" fillId="4" borderId="0" xfId="0" applyFont="1" applyFill="1"/>
    <xf numFmtId="0" fontId="0" fillId="4" borderId="0" xfId="0" applyFont="1" applyFill="1" applyAlignment="1">
      <alignment horizontal="left"/>
    </xf>
    <xf numFmtId="169" fontId="0" fillId="4" borderId="0" xfId="3" applyNumberFormat="1" applyFont="1" applyFill="1"/>
    <xf numFmtId="10" fontId="0" fillId="4" borderId="0" xfId="2" applyNumberFormat="1" applyFont="1" applyFill="1"/>
    <xf numFmtId="165" fontId="0" fillId="4" borderId="0" xfId="3" applyNumberFormat="1" applyFont="1" applyFill="1" applyAlignment="1">
      <alignment horizontal="center"/>
    </xf>
    <xf numFmtId="165" fontId="0" fillId="4" borderId="0" xfId="2" applyNumberFormat="1" applyFont="1" applyFill="1"/>
    <xf numFmtId="165" fontId="0" fillId="4" borderId="0" xfId="0" applyNumberFormat="1" applyFont="1" applyFill="1"/>
    <xf numFmtId="9" fontId="0" fillId="4" borderId="0" xfId="0" applyNumberFormat="1" applyFont="1" applyFill="1"/>
    <xf numFmtId="165" fontId="0" fillId="4" borderId="0" xfId="0" applyNumberFormat="1" applyFont="1" applyFill="1" applyAlignment="1">
      <alignment horizontal="center"/>
    </xf>
    <xf numFmtId="164" fontId="0" fillId="4" borderId="18" xfId="0" applyNumberFormat="1" applyFont="1" applyFill="1" applyBorder="1"/>
    <xf numFmtId="165" fontId="0" fillId="4" borderId="1" xfId="0" applyNumberFormat="1" applyFont="1" applyFill="1" applyBorder="1" applyAlignment="1">
      <alignment horizontal="center"/>
    </xf>
    <xf numFmtId="165" fontId="0" fillId="4" borderId="17" xfId="0" applyNumberFormat="1" applyFont="1" applyFill="1" applyBorder="1" applyAlignment="1">
      <alignment horizontal="center"/>
    </xf>
    <xf numFmtId="164" fontId="0" fillId="4" borderId="0" xfId="0" applyNumberFormat="1" applyFont="1" applyFill="1"/>
    <xf numFmtId="165" fontId="0" fillId="4" borderId="2" xfId="0" applyNumberFormat="1" applyFont="1" applyFill="1" applyBorder="1" applyAlignment="1">
      <alignment horizontal="center"/>
    </xf>
    <xf numFmtId="8" fontId="0" fillId="4" borderId="0" xfId="0" applyNumberFormat="1" applyFont="1" applyFill="1"/>
    <xf numFmtId="6" fontId="0" fillId="4" borderId="0" xfId="0" applyNumberFormat="1" applyFont="1" applyFill="1"/>
    <xf numFmtId="10" fontId="0" fillId="4" borderId="0" xfId="0" applyNumberFormat="1" applyFont="1" applyFill="1"/>
    <xf numFmtId="9" fontId="0" fillId="4" borderId="0" xfId="2" applyFont="1" applyFill="1"/>
    <xf numFmtId="2" fontId="0" fillId="4" borderId="0" xfId="0" applyNumberFormat="1" applyFill="1"/>
    <xf numFmtId="2" fontId="0" fillId="4" borderId="0" xfId="2" applyNumberFormat="1" applyFont="1" applyFill="1"/>
    <xf numFmtId="0" fontId="17" fillId="3" borderId="0" xfId="0" applyFont="1" applyFill="1" applyAlignment="1" applyProtection="1">
      <alignment horizontal="right" vertical="center"/>
      <protection locked="0"/>
    </xf>
    <xf numFmtId="165" fontId="17" fillId="3" borderId="0" xfId="0" applyNumberFormat="1" applyFont="1" applyFill="1" applyAlignment="1" applyProtection="1">
      <alignment horizontal="right" vertical="center"/>
      <protection locked="0"/>
    </xf>
    <xf numFmtId="9" fontId="17" fillId="3" borderId="0" xfId="2" applyFont="1" applyFill="1" applyBorder="1" applyAlignment="1" applyProtection="1">
      <alignment horizontal="right" vertical="center"/>
      <protection locked="0"/>
    </xf>
    <xf numFmtId="165" fontId="0" fillId="4" borderId="11" xfId="1" applyNumberFormat="1" applyFont="1" applyFill="1" applyBorder="1" applyAlignment="1">
      <alignment horizontal="center"/>
    </xf>
    <xf numFmtId="9" fontId="0" fillId="4" borderId="14" xfId="2" applyFont="1" applyFill="1" applyBorder="1" applyAlignment="1">
      <alignment horizontal="center"/>
    </xf>
    <xf numFmtId="9" fontId="0" fillId="4" borderId="0" xfId="2" applyFont="1" applyFill="1" applyAlignment="1">
      <alignment horizontal="center"/>
    </xf>
    <xf numFmtId="165" fontId="0" fillId="4" borderId="0" xfId="0" applyNumberFormat="1" applyFont="1" applyFill="1" applyAlignment="1">
      <alignment horizontal="center" vertical="center"/>
    </xf>
    <xf numFmtId="165" fontId="0" fillId="4" borderId="12" xfId="0" applyNumberFormat="1" applyFont="1" applyFill="1" applyBorder="1" applyAlignment="1">
      <alignment horizontal="center"/>
    </xf>
    <xf numFmtId="1" fontId="0" fillId="4" borderId="0" xfId="0" applyNumberFormat="1" applyFont="1" applyFill="1" applyAlignment="1">
      <alignment horizontal="center"/>
    </xf>
    <xf numFmtId="2" fontId="0" fillId="4" borderId="0" xfId="0" applyNumberFormat="1" applyFont="1" applyFill="1"/>
    <xf numFmtId="2" fontId="0" fillId="4" borderId="0" xfId="0" applyNumberFormat="1" applyFont="1" applyFill="1" applyAlignment="1">
      <alignment horizontal="center"/>
    </xf>
    <xf numFmtId="2" fontId="0" fillId="4" borderId="0" xfId="0" applyNumberFormat="1" applyFont="1" applyFill="1" applyAlignment="1">
      <alignment horizontal="center" vertical="center"/>
    </xf>
    <xf numFmtId="2" fontId="0" fillId="4" borderId="0" xfId="1" applyNumberFormat="1" applyFont="1" applyFill="1"/>
    <xf numFmtId="2" fontId="0" fillId="4" borderId="0" xfId="1" applyNumberFormat="1" applyFont="1" applyFill="1" applyAlignment="1">
      <alignment horizontal="center" vertical="center"/>
    </xf>
    <xf numFmtId="0" fontId="0" fillId="4" borderId="0" xfId="0" applyNumberFormat="1" applyFont="1" applyFill="1"/>
    <xf numFmtId="0" fontId="0" fillId="4" borderId="0" xfId="0" applyNumberFormat="1" applyFont="1" applyFill="1" applyAlignment="1">
      <alignment horizontal="center" vertical="center"/>
    </xf>
    <xf numFmtId="0" fontId="0" fillId="4" borderId="0" xfId="0" applyNumberFormat="1" applyFont="1" applyFill="1" applyAlignment="1">
      <alignment horizontal="center"/>
    </xf>
    <xf numFmtId="9" fontId="0" fillId="4" borderId="0" xfId="2" applyFont="1" applyFill="1" applyAlignment="1">
      <alignment horizontal="center" vertical="center"/>
    </xf>
    <xf numFmtId="165" fontId="0" fillId="4" borderId="0" xfId="1" applyNumberFormat="1" applyFont="1" applyFill="1" applyAlignment="1">
      <alignment horizontal="center" vertical="center"/>
    </xf>
    <xf numFmtId="165" fontId="0" fillId="4" borderId="0" xfId="1" applyNumberFormat="1" applyFont="1" applyFill="1"/>
    <xf numFmtId="165" fontId="0" fillId="4" borderId="4" xfId="0" applyNumberFormat="1" applyFont="1" applyFill="1" applyBorder="1"/>
    <xf numFmtId="165" fontId="0" fillId="4" borderId="5" xfId="0" applyNumberFormat="1" applyFont="1" applyFill="1" applyBorder="1"/>
    <xf numFmtId="165" fontId="0" fillId="4" borderId="13" xfId="0" applyNumberFormat="1" applyFont="1" applyFill="1" applyBorder="1" applyAlignment="1">
      <alignment horizontal="center"/>
    </xf>
    <xf numFmtId="165" fontId="0" fillId="4" borderId="14" xfId="0" applyNumberFormat="1" applyFont="1" applyFill="1" applyBorder="1" applyAlignment="1">
      <alignment horizontal="center"/>
    </xf>
    <xf numFmtId="165" fontId="0" fillId="4" borderId="7" xfId="0" applyNumberFormat="1" applyFont="1" applyFill="1" applyBorder="1"/>
    <xf numFmtId="165" fontId="0" fillId="4" borderId="14" xfId="2" applyNumberFormat="1" applyFont="1" applyFill="1" applyBorder="1" applyAlignment="1">
      <alignment horizontal="center"/>
    </xf>
    <xf numFmtId="165" fontId="0" fillId="4" borderId="15" xfId="0" applyNumberFormat="1" applyFont="1" applyFill="1" applyBorder="1" applyAlignment="1">
      <alignment horizontal="center"/>
    </xf>
    <xf numFmtId="165" fontId="0" fillId="4" borderId="16" xfId="2" applyNumberFormat="1" applyFont="1" applyFill="1" applyBorder="1" applyAlignment="1">
      <alignment horizontal="center"/>
    </xf>
    <xf numFmtId="165" fontId="0" fillId="4" borderId="0" xfId="2" applyNumberFormat="1" applyFont="1" applyFill="1" applyAlignment="1">
      <alignment horizontal="center"/>
    </xf>
    <xf numFmtId="165" fontId="0" fillId="4" borderId="6" xfId="0" applyNumberFormat="1" applyFont="1" applyFill="1" applyBorder="1"/>
    <xf numFmtId="165" fontId="0" fillId="4" borderId="8" xfId="0" applyNumberFormat="1" applyFont="1" applyFill="1" applyBorder="1"/>
    <xf numFmtId="165" fontId="0" fillId="4" borderId="9" xfId="0" applyNumberFormat="1" applyFont="1" applyFill="1" applyBorder="1"/>
    <xf numFmtId="165" fontId="0" fillId="4" borderId="10" xfId="0" applyNumberFormat="1" applyFont="1" applyFill="1" applyBorder="1"/>
    <xf numFmtId="0" fontId="0" fillId="4" borderId="1" xfId="0" applyNumberFormat="1" applyFont="1" applyFill="1" applyBorder="1"/>
    <xf numFmtId="0" fontId="0" fillId="4" borderId="2" xfId="0" applyNumberFormat="1" applyFont="1" applyFill="1" applyBorder="1" applyAlignment="1">
      <alignment horizontal="center"/>
    </xf>
  </cellXfs>
  <cellStyles count="4">
    <cellStyle name="Comma" xfId="3" builtinId="3"/>
    <cellStyle name="Currency" xfId="1" builtinId="4"/>
    <cellStyle name="Normal" xfId="0" builtinId="0"/>
    <cellStyle name="Per cent" xfId="2" builtinId="5"/>
  </cellStyles>
  <dxfs count="0"/>
  <tableStyles count="0" defaultTableStyle="TableStyleMedium2" defaultPivotStyle="PivotStyleLight16"/>
  <colors>
    <mruColors>
      <color rgb="FF0C4E72"/>
      <color rgb="FFFBFBFB"/>
      <color rgb="FFF03C04"/>
      <color rgb="FF003CFF"/>
      <color rgb="FF0B152E"/>
      <color rgb="FFFF7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100" baseline="0">
                <a:solidFill>
                  <a:srgbClr val="0C4E72"/>
                </a:solidFill>
                <a:effectLst>
                  <a:outerShdw blurRad="50800" dist="38100" dir="5400000" algn="t" rotWithShape="0">
                    <a:prstClr val="black">
                      <a:alpha val="40000"/>
                    </a:prstClr>
                  </a:outerShdw>
                </a:effectLst>
                <a:latin typeface="Arial Rounded MT Bold" panose="020F0704030504030204" pitchFamily="34" charset="77"/>
                <a:ea typeface="+mn-ea"/>
                <a:cs typeface="+mn-cs"/>
              </a:defRPr>
            </a:pPr>
            <a:r>
              <a:rPr lang="en-GB" b="0">
                <a:solidFill>
                  <a:srgbClr val="0C4E72"/>
                </a:solidFill>
                <a:latin typeface="Arial Rounded MT Bold" panose="020F0704030504030204" pitchFamily="34" charset="77"/>
              </a:rPr>
              <a:t>Retirement</a:t>
            </a:r>
            <a:r>
              <a:rPr lang="en-GB" b="0" baseline="0">
                <a:solidFill>
                  <a:srgbClr val="0C4E72"/>
                </a:solidFill>
                <a:latin typeface="Arial Rounded MT Bold" panose="020F0704030504030204" pitchFamily="34" charset="77"/>
              </a:rPr>
              <a:t> Drawdown</a:t>
            </a:r>
            <a:endParaRPr lang="en-GB" b="0">
              <a:solidFill>
                <a:srgbClr val="0C4E72"/>
              </a:solidFill>
              <a:latin typeface="Arial Rounded MT Bold" panose="020F0704030504030204" pitchFamily="34" charset="77"/>
            </a:endParaRPr>
          </a:p>
        </c:rich>
      </c:tx>
      <c:overlay val="0"/>
      <c:spPr>
        <a:noFill/>
        <a:ln>
          <a:noFill/>
        </a:ln>
        <a:effectLst/>
      </c:spPr>
      <c:txPr>
        <a:bodyPr rot="0" spcFirstLastPara="1" vertOverflow="ellipsis" vert="horz" wrap="square" anchor="ctr" anchorCtr="1"/>
        <a:lstStyle/>
        <a:p>
          <a:pPr>
            <a:defRPr sz="1600" b="0" i="0" u="none" strike="noStrike" kern="1200" spc="100" baseline="0">
              <a:solidFill>
                <a:srgbClr val="0C4E72"/>
              </a:solidFill>
              <a:effectLst>
                <a:outerShdw blurRad="50800" dist="38100" dir="5400000" algn="t" rotWithShape="0">
                  <a:prstClr val="black">
                    <a:alpha val="40000"/>
                  </a:prstClr>
                </a:outerShdw>
              </a:effectLst>
              <a:latin typeface="Arial Rounded MT Bold" panose="020F0704030504030204" pitchFamily="34" charset="77"/>
              <a:ea typeface="+mn-ea"/>
              <a:cs typeface="+mn-cs"/>
            </a:defRPr>
          </a:pPr>
          <a:endParaRPr lang="en-GB"/>
        </a:p>
      </c:txPr>
    </c:title>
    <c:autoTitleDeleted val="0"/>
    <c:plotArea>
      <c:layout/>
      <c:barChart>
        <c:barDir val="col"/>
        <c:grouping val="clustered"/>
        <c:varyColors val="0"/>
        <c:ser>
          <c:idx val="1"/>
          <c:order val="1"/>
          <c:tx>
            <c:strRef>
              <c:f>'Sheet 1'!$C$42</c:f>
              <c:strCache>
                <c:ptCount val="1"/>
                <c:pt idx="0">
                  <c:v>Yearly Drawdown</c:v>
                </c:pt>
              </c:strCache>
            </c:strRef>
          </c:tx>
          <c:spPr>
            <a:gradFill flip="none" rotWithShape="1">
              <a:gsLst>
                <a:gs pos="0">
                  <a:srgbClr val="003CFF"/>
                </a:gs>
                <a:gs pos="50000">
                  <a:srgbClr val="00B0F0"/>
                </a:gs>
                <a:gs pos="100000">
                  <a:srgbClr val="00B0F0"/>
                </a:gs>
              </a:gsLst>
              <a:lin ang="16200000" scaled="1"/>
              <a:tileRect/>
            </a:gradFill>
            <a:ln>
              <a:noFill/>
            </a:ln>
            <a:effectLst>
              <a:outerShdw blurRad="57150" dist="19050" dir="5400000" algn="ctr" rotWithShape="0">
                <a:srgbClr val="000000">
                  <a:alpha val="63000"/>
                </a:srgbClr>
              </a:outerShdw>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2E-FD49-AFE8-B71947D31AA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numRef>
              <c:f>'Sheet 1'!$D$40:$X$40</c:f>
              <c:numCache>
                <c:formatCode>General</c:formatCode>
                <c:ptCount val="21"/>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numCache>
            </c:numRef>
          </c:cat>
          <c:val>
            <c:numRef>
              <c:f>'Sheet 1'!$D$42:$X$42</c:f>
              <c:numCache>
                <c:formatCode>"R"#\ ##0</c:formatCode>
                <c:ptCount val="21"/>
                <c:pt idx="0">
                  <c:v>632054.75279810221</c:v>
                </c:pt>
                <c:pt idx="1">
                  <c:v>657336.94291002629</c:v>
                </c:pt>
                <c:pt idx="2">
                  <c:v>683630.4206264274</c:v>
                </c:pt>
                <c:pt idx="3">
                  <c:v>710975.63745148457</c:v>
                </c:pt>
                <c:pt idx="4">
                  <c:v>739414.66294954391</c:v>
                </c:pt>
                <c:pt idx="5">
                  <c:v>768991.24946752563</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DEC0-BD4B-8D6A-B632F1436F61}"/>
            </c:ext>
          </c:extLst>
        </c:ser>
        <c:dLbls>
          <c:showLegendKey val="0"/>
          <c:showVal val="0"/>
          <c:showCatName val="0"/>
          <c:showSerName val="0"/>
          <c:showPercent val="0"/>
          <c:showBubbleSize val="0"/>
        </c:dLbls>
        <c:gapWidth val="40"/>
        <c:axId val="924122032"/>
        <c:axId val="924413456"/>
      </c:barChart>
      <c:lineChart>
        <c:grouping val="standard"/>
        <c:varyColors val="0"/>
        <c:ser>
          <c:idx val="0"/>
          <c:order val="0"/>
          <c:tx>
            <c:strRef>
              <c:f>'Sheet 1'!$C$41</c:f>
              <c:strCache>
                <c:ptCount val="1"/>
                <c:pt idx="0">
                  <c:v>Retirement Fund</c:v>
                </c:pt>
              </c:strCache>
            </c:strRef>
          </c:tx>
          <c:spPr>
            <a:ln w="76200" cap="rnd">
              <a:solidFill>
                <a:schemeClr val="accent1">
                  <a:lumMod val="50000"/>
                </a:schemeClr>
              </a:solidFill>
              <a:prstDash val="dash"/>
              <a:round/>
            </a:ln>
            <a:effectLst>
              <a:outerShdw blurRad="57150" dist="19050" dir="5400000" algn="ctr" rotWithShape="0">
                <a:srgbClr val="000000">
                  <a:alpha val="63000"/>
                </a:srgbClr>
              </a:outerShdw>
            </a:effectLst>
          </c:spPr>
          <c:marker>
            <c:symbol val="none"/>
          </c:marker>
          <c:cat>
            <c:numRef>
              <c:f>'Sheet 1'!$D$40:$X$40</c:f>
              <c:numCache>
                <c:formatCode>General</c:formatCode>
                <c:ptCount val="21"/>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numCache>
            </c:numRef>
          </c:cat>
          <c:val>
            <c:numRef>
              <c:f>'Sheet 1'!$D$41:$X$41</c:f>
              <c:numCache>
                <c:formatCode>"R"#\ ##0</c:formatCode>
                <c:ptCount val="21"/>
                <c:pt idx="0">
                  <c:v>2874453.5912390477</c:v>
                </c:pt>
                <c:pt idx="1">
                  <c:v>2429515.3711194587</c:v>
                </c:pt>
                <c:pt idx="2">
                  <c:v>1926303.2229854851</c:v>
                </c:pt>
                <c:pt idx="3">
                  <c:v>1359560.1475449195</c:v>
                </c:pt>
                <c:pt idx="4">
                  <c:v>723607.34170869109</c:v>
                </c:pt>
                <c:pt idx="5">
                  <c:v>12312.035364564857</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1-DEC0-BD4B-8D6A-B632F1436F61}"/>
            </c:ext>
          </c:extLst>
        </c:ser>
        <c:dLbls>
          <c:showLegendKey val="0"/>
          <c:showVal val="0"/>
          <c:showCatName val="0"/>
          <c:showSerName val="0"/>
          <c:showPercent val="0"/>
          <c:showBubbleSize val="0"/>
        </c:dLbls>
        <c:marker val="1"/>
        <c:smooth val="0"/>
        <c:axId val="924122032"/>
        <c:axId val="924413456"/>
      </c:lineChart>
      <c:catAx>
        <c:axId val="924122032"/>
        <c:scaling>
          <c:orientation val="minMax"/>
        </c:scaling>
        <c:delete val="0"/>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r>
                  <a:rPr lang="en-GB">
                    <a:solidFill>
                      <a:sysClr val="windowText" lastClr="000000"/>
                    </a:solidFill>
                  </a:rPr>
                  <a:t>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0" i="0" u="none" strike="noStrike" kern="1200" baseline="0">
                <a:solidFill>
                  <a:srgbClr val="0C4E72"/>
                </a:solidFill>
                <a:latin typeface="Arial Rounded MT Bold" panose="020F0704030504030204" pitchFamily="34" charset="77"/>
                <a:ea typeface="+mn-ea"/>
                <a:cs typeface="+mn-cs"/>
              </a:defRPr>
            </a:pPr>
            <a:endParaRPr lang="en-US"/>
          </a:p>
        </c:txPr>
        <c:crossAx val="924413456"/>
        <c:crosses val="autoZero"/>
        <c:auto val="1"/>
        <c:lblAlgn val="ctr"/>
        <c:lblOffset val="100"/>
        <c:noMultiLvlLbl val="0"/>
      </c:catAx>
      <c:valAx>
        <c:axId val="924413456"/>
        <c:scaling>
          <c:orientation val="minMax"/>
        </c:scaling>
        <c:delete val="0"/>
        <c:axPos val="l"/>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C4E72"/>
                </a:solidFill>
                <a:latin typeface="Arial Rounded MT Bold" panose="020F0704030504030204" pitchFamily="34" charset="77"/>
                <a:ea typeface="+mn-ea"/>
                <a:cs typeface="+mn-cs"/>
              </a:defRPr>
            </a:pPr>
            <a:endParaRPr lang="en-US"/>
          </a:p>
        </c:txPr>
        <c:crossAx val="92412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rgbClr val="0C4E72"/>
              </a:solidFill>
              <a:latin typeface="Arial Rounded MT Bold" panose="020F0704030504030204" pitchFamily="34" charset="77"/>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GB"/>
              <a:t>RETIREMENT</a:t>
            </a:r>
            <a:r>
              <a:rPr lang="en-GB" baseline="0"/>
              <a:t> PLANNING</a:t>
            </a:r>
            <a:endParaRPr lang="en-GB"/>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GB"/>
        </a:p>
      </c:txPr>
    </c:title>
    <c:autoTitleDeleted val="0"/>
    <c:plotArea>
      <c:layout/>
      <c:barChart>
        <c:barDir val="col"/>
        <c:grouping val="clustered"/>
        <c:varyColors val="0"/>
        <c:ser>
          <c:idx val="1"/>
          <c:order val="1"/>
          <c:tx>
            <c:strRef>
              <c:f>'Sheet 1'!$C$42</c:f>
              <c:strCache>
                <c:ptCount val="1"/>
                <c:pt idx="0">
                  <c:v>Yearly Drawdown</c:v>
                </c:pt>
              </c:strCache>
            </c:strRef>
          </c:tx>
          <c:spPr>
            <a:gradFill flip="none" rotWithShape="1">
              <a:gsLst>
                <a:gs pos="0">
                  <a:schemeClr val="accent1"/>
                </a:gs>
                <a:gs pos="50000">
                  <a:srgbClr val="002060">
                    <a:tint val="44500"/>
                    <a:satMod val="160000"/>
                  </a:srgbClr>
                </a:gs>
                <a:gs pos="100000">
                  <a:srgbClr val="002060">
                    <a:tint val="23500"/>
                    <a:satMod val="160000"/>
                  </a:srgbClr>
                </a:gs>
              </a:gsLst>
              <a:lin ang="16200000" scaled="1"/>
              <a:tileRect/>
            </a:gradFill>
            <a:ln>
              <a:noFill/>
            </a:ln>
            <a:effectLst>
              <a:outerShdw blurRad="57150" dist="19050" dir="5400000" algn="ctr" rotWithShape="0">
                <a:srgbClr val="000000">
                  <a:alpha val="63000"/>
                </a:srgbClr>
              </a:outerShdw>
            </a:effectLst>
          </c:spPr>
          <c:invertIfNegative val="0"/>
          <c:cat>
            <c:numRef>
              <c:f>'Sheet 1'!$D$40:$X$40</c:f>
              <c:numCache>
                <c:formatCode>General</c:formatCode>
                <c:ptCount val="21"/>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numCache>
            </c:numRef>
          </c:cat>
          <c:val>
            <c:numRef>
              <c:f>'Sheet 1'!$D$42:$X$42</c:f>
              <c:numCache>
                <c:formatCode>"R"#\ ##0</c:formatCode>
                <c:ptCount val="21"/>
                <c:pt idx="0">
                  <c:v>632054.75279810221</c:v>
                </c:pt>
                <c:pt idx="1">
                  <c:v>657336.94291002629</c:v>
                </c:pt>
                <c:pt idx="2">
                  <c:v>683630.4206264274</c:v>
                </c:pt>
                <c:pt idx="3">
                  <c:v>710975.63745148457</c:v>
                </c:pt>
                <c:pt idx="4">
                  <c:v>739414.66294954391</c:v>
                </c:pt>
                <c:pt idx="5">
                  <c:v>768991.24946752563</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0F1-E74E-8311-B7864C25A611}"/>
            </c:ext>
          </c:extLst>
        </c:ser>
        <c:dLbls>
          <c:showLegendKey val="0"/>
          <c:showVal val="0"/>
          <c:showCatName val="0"/>
          <c:showSerName val="0"/>
          <c:showPercent val="0"/>
          <c:showBubbleSize val="0"/>
        </c:dLbls>
        <c:gapWidth val="150"/>
        <c:axId val="924122032"/>
        <c:axId val="924413456"/>
      </c:barChart>
      <c:lineChart>
        <c:grouping val="standard"/>
        <c:varyColors val="0"/>
        <c:ser>
          <c:idx val="0"/>
          <c:order val="0"/>
          <c:tx>
            <c:strRef>
              <c:f>'Sheet 1'!$C$41</c:f>
              <c:strCache>
                <c:ptCount val="1"/>
                <c:pt idx="0">
                  <c:v>Retirement Fund</c:v>
                </c:pt>
              </c:strCache>
            </c:strRef>
          </c:tx>
          <c:spPr>
            <a:ln w="38100" cap="rnd">
              <a:solidFill>
                <a:srgbClr val="00B050"/>
              </a:solidFill>
              <a:prstDash val="lgDashDot"/>
              <a:round/>
            </a:ln>
            <a:effectLst>
              <a:outerShdw blurRad="57150" dist="19050" dir="5400000" algn="ctr" rotWithShape="0">
                <a:srgbClr val="000000">
                  <a:alpha val="63000"/>
                </a:srgbClr>
              </a:outerShdw>
            </a:effectLst>
          </c:spPr>
          <c:marker>
            <c:symbol val="none"/>
          </c:marker>
          <c:cat>
            <c:numRef>
              <c:f>'Sheet 1'!$D$40:$X$40</c:f>
              <c:numCache>
                <c:formatCode>General</c:formatCode>
                <c:ptCount val="21"/>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pt idx="20">
                  <c:v>86</c:v>
                </c:pt>
              </c:numCache>
            </c:numRef>
          </c:cat>
          <c:val>
            <c:numRef>
              <c:f>'Sheet 1'!$D$41:$X$41</c:f>
              <c:numCache>
                <c:formatCode>"R"#\ ##0</c:formatCode>
                <c:ptCount val="21"/>
                <c:pt idx="0">
                  <c:v>2874453.5912390477</c:v>
                </c:pt>
                <c:pt idx="1">
                  <c:v>2429515.3711194587</c:v>
                </c:pt>
                <c:pt idx="2">
                  <c:v>1926303.2229854851</c:v>
                </c:pt>
                <c:pt idx="3">
                  <c:v>1359560.1475449195</c:v>
                </c:pt>
                <c:pt idx="4">
                  <c:v>723607.34170869109</c:v>
                </c:pt>
                <c:pt idx="5">
                  <c:v>12312.035364564857</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0-C0F1-E74E-8311-B7864C25A611}"/>
            </c:ext>
          </c:extLst>
        </c:ser>
        <c:dLbls>
          <c:showLegendKey val="0"/>
          <c:showVal val="0"/>
          <c:showCatName val="0"/>
          <c:showSerName val="0"/>
          <c:showPercent val="0"/>
          <c:showBubbleSize val="0"/>
        </c:dLbls>
        <c:marker val="1"/>
        <c:smooth val="0"/>
        <c:axId val="924122032"/>
        <c:axId val="924413456"/>
      </c:lineChart>
      <c:catAx>
        <c:axId val="924122032"/>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Helvetica" pitchFamily="2" charset="0"/>
                <a:ea typeface="+mn-ea"/>
                <a:cs typeface="+mn-cs"/>
              </a:defRPr>
            </a:pPr>
            <a:endParaRPr lang="en-US"/>
          </a:p>
        </c:txPr>
        <c:crossAx val="924413456"/>
        <c:crosses val="autoZero"/>
        <c:auto val="1"/>
        <c:lblAlgn val="ctr"/>
        <c:lblOffset val="100"/>
        <c:noMultiLvlLbl val="0"/>
      </c:catAx>
      <c:valAx>
        <c:axId val="924413456"/>
        <c:scaling>
          <c:orientation val="minMax"/>
        </c:scaling>
        <c:delete val="0"/>
        <c:axPos val="l"/>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Helvetica" pitchFamily="2" charset="0"/>
                <a:ea typeface="+mn-ea"/>
                <a:cs typeface="+mn-cs"/>
              </a:defRPr>
            </a:pPr>
            <a:endParaRPr lang="en-US"/>
          </a:p>
        </c:txPr>
        <c:crossAx val="92412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accent4">
            <a:lumMod val="50000"/>
            <a:shade val="30000"/>
            <a:satMod val="115000"/>
          </a:schemeClr>
        </a:gs>
        <a:gs pos="32000">
          <a:schemeClr val="accent4">
            <a:lumMod val="50000"/>
            <a:shade val="67500"/>
            <a:satMod val="115000"/>
          </a:schemeClr>
        </a:gs>
        <a:gs pos="100000">
          <a:schemeClr val="accent4">
            <a:lumMod val="50000"/>
            <a:shade val="100000"/>
            <a:satMod val="115000"/>
          </a:schemeClr>
        </a:gs>
      </a:gsLst>
      <a:lin ang="0" scaled="1"/>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2"/>
          <c:order val="2"/>
          <c:tx>
            <c:strRef>
              <c:f>'Sheet 1'!$C$47</c:f>
              <c:strCache>
                <c:ptCount val="1"/>
                <c:pt idx="0">
                  <c:v>Income</c:v>
                </c:pt>
              </c:strCache>
            </c:strRef>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6200000" scaled="1"/>
              <a:tileRect/>
            </a:gradFill>
            <a:ln>
              <a:noFill/>
            </a:ln>
            <a:effectLst>
              <a:outerShdw blurRad="57150" dist="19050" dir="5400000" algn="ctr" rotWithShape="0">
                <a:srgbClr val="000000">
                  <a:alpha val="63000"/>
                </a:srgbClr>
              </a:outerShdw>
            </a:effectLst>
          </c:spPr>
          <c:invertIfNegative val="0"/>
          <c:cat>
            <c:numRef>
              <c:f>'Sheet 1'!$D$44:$W$44</c:f>
              <c:numCache>
                <c:formatCode>General</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1'!$D$47:$W$47</c:f>
              <c:numCache>
                <c:formatCode>"R"#\ ##0</c:formatCode>
                <c:ptCount val="20"/>
                <c:pt idx="0">
                  <c:v>503029.37846683332</c:v>
                </c:pt>
                <c:pt idx="1">
                  <c:v>425165.18994590524</c:v>
                </c:pt>
                <c:pt idx="2">
                  <c:v>337103.06402245985</c:v>
                </c:pt>
                <c:pt idx="3">
                  <c:v>237923.0258203609</c:v>
                </c:pt>
                <c:pt idx="4">
                  <c:v>126631.28479902093</c:v>
                </c:pt>
                <c:pt idx="5">
                  <c:v>2154.6061887988499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C3CE-E44E-AB89-5F453C4D3463}"/>
            </c:ext>
          </c:extLst>
        </c:ser>
        <c:dLbls>
          <c:showLegendKey val="0"/>
          <c:showVal val="0"/>
          <c:showCatName val="0"/>
          <c:showSerName val="0"/>
          <c:showPercent val="0"/>
          <c:showBubbleSize val="0"/>
        </c:dLbls>
        <c:gapWidth val="150"/>
        <c:axId val="1671184704"/>
        <c:axId val="1671133280"/>
      </c:barChart>
      <c:lineChart>
        <c:grouping val="standard"/>
        <c:varyColors val="0"/>
        <c:ser>
          <c:idx val="0"/>
          <c:order val="0"/>
          <c:tx>
            <c:strRef>
              <c:f>'Sheet 1'!$C$45</c:f>
              <c:strCache>
                <c:ptCount val="1"/>
                <c:pt idx="0">
                  <c:v>Income Max</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'Sheet 1'!$D$44:$W$44</c:f>
              <c:numCache>
                <c:formatCode>General</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1'!$D$45:$W$45</c:f>
              <c:numCache>
                <c:formatCode>"R"#\ ##0</c:formatCode>
                <c:ptCount val="20"/>
                <c:pt idx="0">
                  <c:v>503029.37846683332</c:v>
                </c:pt>
                <c:pt idx="1">
                  <c:v>425165.18994590524</c:v>
                </c:pt>
                <c:pt idx="2">
                  <c:v>337103.06402245985</c:v>
                </c:pt>
                <c:pt idx="3">
                  <c:v>237923.0258203609</c:v>
                </c:pt>
                <c:pt idx="4">
                  <c:v>126631.28479902093</c:v>
                </c:pt>
                <c:pt idx="5">
                  <c:v>2154.6061887988499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C3CE-E44E-AB89-5F453C4D3463}"/>
            </c:ext>
          </c:extLst>
        </c:ser>
        <c:ser>
          <c:idx val="1"/>
          <c:order val="1"/>
          <c:tx>
            <c:strRef>
              <c:f>'Sheet 1'!$C$46</c:f>
              <c:strCache>
                <c:ptCount val="1"/>
                <c:pt idx="0">
                  <c:v>Income Required</c:v>
                </c:pt>
              </c:strCache>
            </c:strRef>
          </c:tx>
          <c:spPr>
            <a:ln w="34925" cap="rnd">
              <a:solidFill>
                <a:srgbClr val="F03C04"/>
              </a:solidFill>
              <a:prstDash val="dash"/>
              <a:round/>
            </a:ln>
            <a:effectLst>
              <a:outerShdw blurRad="57150" dist="19050" dir="5400000" algn="ctr" rotWithShape="0">
                <a:srgbClr val="000000">
                  <a:alpha val="63000"/>
                </a:srgbClr>
              </a:outerShdw>
            </a:effectLst>
          </c:spPr>
          <c:marker>
            <c:symbol val="circle"/>
            <c:size val="6"/>
            <c:spPr>
              <a:solidFill>
                <a:srgbClr val="003CFF"/>
              </a:solidFill>
              <a:ln w="9525">
                <a:solidFill>
                  <a:srgbClr val="F03C04"/>
                </a:solidFill>
                <a:prstDash val="dash"/>
                <a:round/>
              </a:ln>
              <a:effectLst>
                <a:outerShdw blurRad="57150" dist="19050" dir="5400000" algn="ctr" rotWithShape="0">
                  <a:srgbClr val="000000">
                    <a:alpha val="63000"/>
                  </a:srgbClr>
                </a:outerShdw>
              </a:effectLst>
            </c:spPr>
          </c:marker>
          <c:cat>
            <c:numRef>
              <c:f>'Sheet 1'!$D$44:$W$44</c:f>
              <c:numCache>
                <c:formatCode>General</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1'!$D$46:$W$46</c:f>
              <c:numCache>
                <c:formatCode>"R"#\ ##0</c:formatCode>
                <c:ptCount val="20"/>
                <c:pt idx="0">
                  <c:v>632054.75279810221</c:v>
                </c:pt>
                <c:pt idx="1">
                  <c:v>657336.94291002629</c:v>
                </c:pt>
                <c:pt idx="2">
                  <c:v>683630.4206264274</c:v>
                </c:pt>
                <c:pt idx="3">
                  <c:v>710975.63745148457</c:v>
                </c:pt>
                <c:pt idx="4">
                  <c:v>739414.66294954391</c:v>
                </c:pt>
                <c:pt idx="5">
                  <c:v>768991.24946752563</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C3CE-E44E-AB89-5F453C4D3463}"/>
            </c:ext>
          </c:extLst>
        </c:ser>
        <c:dLbls>
          <c:showLegendKey val="0"/>
          <c:showVal val="0"/>
          <c:showCatName val="0"/>
          <c:showSerName val="0"/>
          <c:showPercent val="0"/>
          <c:showBubbleSize val="0"/>
        </c:dLbls>
        <c:marker val="1"/>
        <c:smooth val="0"/>
        <c:axId val="1671184704"/>
        <c:axId val="1671133280"/>
      </c:lineChart>
      <c:catAx>
        <c:axId val="16711847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71133280"/>
        <c:crosses val="autoZero"/>
        <c:auto val="1"/>
        <c:lblAlgn val="ctr"/>
        <c:lblOffset val="100"/>
        <c:noMultiLvlLbl val="0"/>
      </c:catAx>
      <c:valAx>
        <c:axId val="1671133280"/>
        <c:scaling>
          <c:orientation val="minMax"/>
        </c:scaling>
        <c:delete val="0"/>
        <c:axPos val="l"/>
        <c:majorGridlines>
          <c:spPr>
            <a:ln w="9525" cap="flat" cmpd="sng" algn="ctr">
              <a:solidFill>
                <a:schemeClr val="lt1">
                  <a:lumMod val="95000"/>
                  <a:alpha val="10000"/>
                </a:schemeClr>
              </a:solidFill>
              <a:round/>
            </a:ln>
            <a:effectLst/>
          </c:spPr>
        </c:majorGridlines>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71184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'Sheet 1'!$C$60</c:f>
              <c:strCache>
                <c:ptCount val="1"/>
                <c:pt idx="0">
                  <c:v>In</c:v>
                </c:pt>
              </c:strCache>
            </c:strRef>
          </c:tx>
          <c:spPr>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16200000" scaled="1"/>
              <a:tileRect/>
            </a:gradFill>
            <a:ln>
              <a:noFill/>
            </a:ln>
            <a:effectLst>
              <a:outerShdw blurRad="57150" dist="19050" dir="5400000" algn="ctr" rotWithShape="0">
                <a:srgbClr val="000000">
                  <a:alpha val="63000"/>
                </a:srgbClr>
              </a:outerShdw>
            </a:effectLst>
          </c:spPr>
          <c:invertIfNegative val="0"/>
          <c:cat>
            <c:numRef>
              <c:f>'Sheet 1'!$D$59:$W$59</c:f>
              <c:numCache>
                <c:formatCode>"R"#\ ##0</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1'!$D$60:$W$60</c:f>
              <c:numCache>
                <c:formatCode>"R"#\ ##0</c:formatCode>
                <c:ptCount val="20"/>
                <c:pt idx="0">
                  <c:v>503029.37846683332</c:v>
                </c:pt>
                <c:pt idx="1">
                  <c:v>448483.32680318912</c:v>
                </c:pt>
                <c:pt idx="2">
                  <c:v>399851.98286727484</c:v>
                </c:pt>
                <c:pt idx="3">
                  <c:v>356493.98460927245</c:v>
                </c:pt>
                <c:pt idx="4">
                  <c:v>317837.51615102345</c:v>
                </c:pt>
                <c:pt idx="5">
                  <c:v>283372.76653846947</c:v>
                </c:pt>
                <c:pt idx="6">
                  <c:v>252645.2062301877</c:v>
                </c:pt>
                <c:pt idx="7">
                  <c:v>225249.59265070673</c:v>
                </c:pt>
                <c:pt idx="8">
                  <c:v>200824.62575237607</c:v>
                </c:pt>
                <c:pt idx="9">
                  <c:v>179048.1831020322</c:v>
                </c:pt>
                <c:pt idx="10">
                  <c:v>159633.07165162015</c:v>
                </c:pt>
                <c:pt idx="11">
                  <c:v>142323.24016608277</c:v>
                </c:pt>
                <c:pt idx="12">
                  <c:v>126890.40235709139</c:v>
                </c:pt>
                <c:pt idx="13">
                  <c:v>113131.02618767974</c:v>
                </c:pt>
                <c:pt idx="14">
                  <c:v>100863.64964199529</c:v>
                </c:pt>
                <c:pt idx="15">
                  <c:v>89926.487559882968</c:v>
                </c:pt>
                <c:pt idx="16">
                  <c:v>80175.297974651112</c:v>
                </c:pt>
                <c:pt idx="17">
                  <c:v>71481.479814760605</c:v>
                </c:pt>
                <c:pt idx="18">
                  <c:v>63730.376881461954</c:v>
                </c:pt>
                <c:pt idx="19">
                  <c:v>56819.76573482305</c:v>
                </c:pt>
              </c:numCache>
            </c:numRef>
          </c:val>
          <c:extLst>
            <c:ext xmlns:c16="http://schemas.microsoft.com/office/drawing/2014/chart" uri="{C3380CC4-5D6E-409C-BE32-E72D297353CC}">
              <c16:uniqueId val="{00000000-EDF2-5A4A-B06B-E518A4E196E7}"/>
            </c:ext>
          </c:extLst>
        </c:ser>
        <c:dLbls>
          <c:showLegendKey val="0"/>
          <c:showVal val="0"/>
          <c:showCatName val="0"/>
          <c:showSerName val="0"/>
          <c:showPercent val="0"/>
          <c:showBubbleSize val="0"/>
        </c:dLbls>
        <c:gapWidth val="150"/>
        <c:axId val="121970287"/>
        <c:axId val="1683059152"/>
      </c:barChart>
      <c:lineChart>
        <c:grouping val="standard"/>
        <c:varyColors val="0"/>
        <c:ser>
          <c:idx val="1"/>
          <c:order val="1"/>
          <c:tx>
            <c:strRef>
              <c:f>'Sheet 1'!$C$61</c:f>
              <c:strCache>
                <c:ptCount val="1"/>
                <c:pt idx="0">
                  <c:v>Fund</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cat>
            <c:numRef>
              <c:f>'Sheet 1'!$D$59:$W$59</c:f>
              <c:numCache>
                <c:formatCode>"R"#\ ##0</c:formatCode>
                <c:ptCount val="20"/>
                <c:pt idx="0">
                  <c:v>66</c:v>
                </c:pt>
                <c:pt idx="1">
                  <c:v>67</c:v>
                </c:pt>
                <c:pt idx="2">
                  <c:v>68</c:v>
                </c:pt>
                <c:pt idx="3">
                  <c:v>69</c:v>
                </c:pt>
                <c:pt idx="4">
                  <c:v>70</c:v>
                </c:pt>
                <c:pt idx="5">
                  <c:v>71</c:v>
                </c:pt>
                <c:pt idx="6">
                  <c:v>72</c:v>
                </c:pt>
                <c:pt idx="7">
                  <c:v>73</c:v>
                </c:pt>
                <c:pt idx="8">
                  <c:v>74</c:v>
                </c:pt>
                <c:pt idx="9">
                  <c:v>75</c:v>
                </c:pt>
                <c:pt idx="10">
                  <c:v>76</c:v>
                </c:pt>
                <c:pt idx="11">
                  <c:v>77</c:v>
                </c:pt>
                <c:pt idx="12">
                  <c:v>78</c:v>
                </c:pt>
                <c:pt idx="13">
                  <c:v>79</c:v>
                </c:pt>
                <c:pt idx="14">
                  <c:v>80</c:v>
                </c:pt>
                <c:pt idx="15">
                  <c:v>81</c:v>
                </c:pt>
                <c:pt idx="16">
                  <c:v>82</c:v>
                </c:pt>
                <c:pt idx="17">
                  <c:v>83</c:v>
                </c:pt>
                <c:pt idx="18">
                  <c:v>84</c:v>
                </c:pt>
                <c:pt idx="19">
                  <c:v>85</c:v>
                </c:pt>
              </c:numCache>
            </c:numRef>
          </c:cat>
          <c:val>
            <c:numRef>
              <c:f>'Sheet 1'!$D$61:$W$61</c:f>
              <c:numCache>
                <c:formatCode>"R"#\ ##0</c:formatCode>
                <c:ptCount val="20"/>
                <c:pt idx="0">
                  <c:v>2874453.5912390477</c:v>
                </c:pt>
                <c:pt idx="1">
                  <c:v>2562761.8674467951</c:v>
                </c:pt>
                <c:pt idx="2">
                  <c:v>2284868.4735272848</c:v>
                </c:pt>
                <c:pt idx="3">
                  <c:v>2037108.4834815571</c:v>
                </c:pt>
                <c:pt idx="4">
                  <c:v>1816214.3780058485</c:v>
                </c:pt>
                <c:pt idx="5">
                  <c:v>1619272.9516483971</c:v>
                </c:pt>
                <c:pt idx="6">
                  <c:v>1443686.8927439298</c:v>
                </c:pt>
                <c:pt idx="7">
                  <c:v>1287140.5294326099</c:v>
                </c:pt>
                <c:pt idx="8">
                  <c:v>1147569.2900135776</c:v>
                </c:pt>
                <c:pt idx="9">
                  <c:v>1023132.4748687556</c:v>
                </c:pt>
                <c:pt idx="10">
                  <c:v>912188.98086640099</c:v>
                </c:pt>
                <c:pt idx="11">
                  <c:v>813275.65809190169</c:v>
                </c:pt>
                <c:pt idx="12">
                  <c:v>725088.01346909371</c:v>
                </c:pt>
                <c:pt idx="13">
                  <c:v>646463.00678674143</c:v>
                </c:pt>
                <c:pt idx="14">
                  <c:v>576363.71223997313</c:v>
                </c:pt>
                <c:pt idx="15">
                  <c:v>513865.64319933124</c:v>
                </c:pt>
                <c:pt idx="16">
                  <c:v>458144.55985514924</c:v>
                </c:pt>
                <c:pt idx="17">
                  <c:v>408465.59894148924</c:v>
                </c:pt>
                <c:pt idx="18">
                  <c:v>364173.58217978262</c:v>
                </c:pt>
                <c:pt idx="19">
                  <c:v>324684.37562756031</c:v>
                </c:pt>
              </c:numCache>
            </c:numRef>
          </c:val>
          <c:smooth val="0"/>
          <c:extLst>
            <c:ext xmlns:c16="http://schemas.microsoft.com/office/drawing/2014/chart" uri="{C3380CC4-5D6E-409C-BE32-E72D297353CC}">
              <c16:uniqueId val="{00000001-EDF2-5A4A-B06B-E518A4E196E7}"/>
            </c:ext>
          </c:extLst>
        </c:ser>
        <c:dLbls>
          <c:showLegendKey val="0"/>
          <c:showVal val="0"/>
          <c:showCatName val="0"/>
          <c:showSerName val="0"/>
          <c:showPercent val="0"/>
          <c:showBubbleSize val="0"/>
        </c:dLbls>
        <c:marker val="1"/>
        <c:smooth val="0"/>
        <c:axId val="121970287"/>
        <c:axId val="1683059152"/>
      </c:lineChart>
      <c:catAx>
        <c:axId val="121970287"/>
        <c:scaling>
          <c:orientation val="minMax"/>
        </c:scaling>
        <c:delete val="0"/>
        <c:axPos val="b"/>
        <c:numFmt formatCode="&quot;R&quot;#\ ##0"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83059152"/>
        <c:crosses val="autoZero"/>
        <c:auto val="1"/>
        <c:lblAlgn val="ctr"/>
        <c:lblOffset val="100"/>
        <c:noMultiLvlLbl val="0"/>
      </c:catAx>
      <c:valAx>
        <c:axId val="1683059152"/>
        <c:scaling>
          <c:orientation val="minMax"/>
        </c:scaling>
        <c:delete val="0"/>
        <c:axPos val="l"/>
        <c:majorGridlines>
          <c:spPr>
            <a:ln w="9525" cap="flat" cmpd="sng" algn="ctr">
              <a:solidFill>
                <a:schemeClr val="lt1">
                  <a:lumMod val="95000"/>
                  <a:alpha val="10000"/>
                </a:schemeClr>
              </a:solidFill>
              <a:round/>
            </a:ln>
            <a:effectLst/>
          </c:spPr>
        </c:majorGridlines>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19702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 1'!$C$64</c:f>
              <c:strCache>
                <c:ptCount val="1"/>
                <c:pt idx="0">
                  <c:v>PV</c:v>
                </c:pt>
              </c:strCache>
            </c:strRef>
          </c:tx>
          <c:spPr>
            <a:solidFill>
              <a:schemeClr val="accent1"/>
            </a:solidFill>
            <a:ln>
              <a:noFill/>
            </a:ln>
            <a:effectLst/>
          </c:spPr>
          <c:invertIfNegative val="0"/>
          <c:cat>
            <c:numRef>
              <c:f>'Sheet 1'!$D$63:$M$63</c:f>
              <c:numCache>
                <c:formatCode>"R"#\ ##0</c:formatCode>
                <c:ptCount val="10"/>
                <c:pt idx="0">
                  <c:v>66</c:v>
                </c:pt>
                <c:pt idx="1">
                  <c:v>67</c:v>
                </c:pt>
                <c:pt idx="2">
                  <c:v>68</c:v>
                </c:pt>
                <c:pt idx="3">
                  <c:v>69</c:v>
                </c:pt>
                <c:pt idx="4">
                  <c:v>70</c:v>
                </c:pt>
                <c:pt idx="5">
                  <c:v>71</c:v>
                </c:pt>
                <c:pt idx="6">
                  <c:v>72</c:v>
                </c:pt>
                <c:pt idx="7">
                  <c:v>73</c:v>
                </c:pt>
                <c:pt idx="8">
                  <c:v>74</c:v>
                </c:pt>
                <c:pt idx="9">
                  <c:v>75</c:v>
                </c:pt>
              </c:numCache>
            </c:numRef>
          </c:cat>
          <c:val>
            <c:numRef>
              <c:f>'Sheet 1'!$D$64:$M$64</c:f>
              <c:numCache>
                <c:formatCode>"R"#\ ##0</c:formatCode>
                <c:ptCount val="10"/>
                <c:pt idx="0">
                  <c:v>1364337.6203630432</c:v>
                </c:pt>
                <c:pt idx="1">
                  <c:v>1169611.0625251632</c:v>
                </c:pt>
                <c:pt idx="2">
                  <c:v>1002677.0626006972</c:v>
                </c:pt>
                <c:pt idx="3">
                  <c:v>859568.89779668348</c:v>
                </c:pt>
                <c:pt idx="4">
                  <c:v>736886.00010754028</c:v>
                </c:pt>
                <c:pt idx="5">
                  <c:v>631713.15126263152</c:v>
                </c:pt>
                <c:pt idx="6">
                  <c:v>541551.21066206414</c:v>
                </c:pt>
                <c:pt idx="7">
                  <c:v>464257.73024253332</c:v>
                </c:pt>
                <c:pt idx="8">
                  <c:v>397996.04515046673</c:v>
                </c:pt>
                <c:pt idx="9">
                  <c:v>341191.63050373335</c:v>
                </c:pt>
              </c:numCache>
            </c:numRef>
          </c:val>
          <c:extLst>
            <c:ext xmlns:c16="http://schemas.microsoft.com/office/drawing/2014/chart" uri="{C3380CC4-5D6E-409C-BE32-E72D297353CC}">
              <c16:uniqueId val="{00000000-EFB8-B14B-A5A6-2325E2349186}"/>
            </c:ext>
          </c:extLst>
        </c:ser>
        <c:dLbls>
          <c:showLegendKey val="0"/>
          <c:showVal val="0"/>
          <c:showCatName val="0"/>
          <c:showSerName val="0"/>
          <c:showPercent val="0"/>
          <c:showBubbleSize val="0"/>
        </c:dLbls>
        <c:gapWidth val="150"/>
        <c:axId val="83142431"/>
        <c:axId val="83139999"/>
      </c:barChart>
      <c:lineChart>
        <c:grouping val="standard"/>
        <c:varyColors val="0"/>
        <c:ser>
          <c:idx val="1"/>
          <c:order val="1"/>
          <c:tx>
            <c:strRef>
              <c:f>'Sheet 1'!$C$65</c:f>
              <c:strCache>
                <c:ptCount val="1"/>
                <c:pt idx="0">
                  <c:v>In</c:v>
                </c:pt>
              </c:strCache>
            </c:strRef>
          </c:tx>
          <c:spPr>
            <a:ln w="28575" cap="rnd">
              <a:solidFill>
                <a:schemeClr val="accent2"/>
              </a:solidFill>
              <a:round/>
            </a:ln>
            <a:effectLst/>
          </c:spPr>
          <c:marker>
            <c:symbol val="none"/>
          </c:marker>
          <c:cat>
            <c:numRef>
              <c:f>'Sheet 1'!$D$63:$M$63</c:f>
              <c:numCache>
                <c:formatCode>"R"#\ ##0</c:formatCode>
                <c:ptCount val="10"/>
                <c:pt idx="0">
                  <c:v>66</c:v>
                </c:pt>
                <c:pt idx="1">
                  <c:v>67</c:v>
                </c:pt>
                <c:pt idx="2">
                  <c:v>68</c:v>
                </c:pt>
                <c:pt idx="3">
                  <c:v>69</c:v>
                </c:pt>
                <c:pt idx="4">
                  <c:v>70</c:v>
                </c:pt>
                <c:pt idx="5">
                  <c:v>71</c:v>
                </c:pt>
                <c:pt idx="6">
                  <c:v>72</c:v>
                </c:pt>
                <c:pt idx="7">
                  <c:v>73</c:v>
                </c:pt>
                <c:pt idx="8">
                  <c:v>74</c:v>
                </c:pt>
                <c:pt idx="9">
                  <c:v>75</c:v>
                </c:pt>
              </c:numCache>
            </c:numRef>
          </c:cat>
          <c:val>
            <c:numRef>
              <c:f>'Sheet 1'!$D$65:$M$65</c:f>
              <c:numCache>
                <c:formatCode>"R"#\ ##0</c:formatCode>
                <c:ptCount val="10"/>
                <c:pt idx="0">
                  <c:v>238759.08356353251</c:v>
                </c:pt>
                <c:pt idx="1">
                  <c:v>204681.93594190356</c:v>
                </c:pt>
                <c:pt idx="2">
                  <c:v>175468.48595512199</c:v>
                </c:pt>
                <c:pt idx="3">
                  <c:v>150424.55711441959</c:v>
                </c:pt>
                <c:pt idx="4">
                  <c:v>128955.05001881954</c:v>
                </c:pt>
                <c:pt idx="5">
                  <c:v>110549.80147096052</c:v>
                </c:pt>
                <c:pt idx="6">
                  <c:v>94771.461865861216</c:v>
                </c:pt>
                <c:pt idx="7">
                  <c:v>81245.102792443329</c:v>
                </c:pt>
                <c:pt idx="8">
                  <c:v>69649.307901331675</c:v>
                </c:pt>
                <c:pt idx="9">
                  <c:v>59708.53533815332</c:v>
                </c:pt>
              </c:numCache>
            </c:numRef>
          </c:val>
          <c:smooth val="0"/>
          <c:extLst>
            <c:ext xmlns:c16="http://schemas.microsoft.com/office/drawing/2014/chart" uri="{C3380CC4-5D6E-409C-BE32-E72D297353CC}">
              <c16:uniqueId val="{00000001-EFB8-B14B-A5A6-2325E2349186}"/>
            </c:ext>
          </c:extLst>
        </c:ser>
        <c:dLbls>
          <c:showLegendKey val="0"/>
          <c:showVal val="0"/>
          <c:showCatName val="0"/>
          <c:showSerName val="0"/>
          <c:showPercent val="0"/>
          <c:showBubbleSize val="0"/>
        </c:dLbls>
        <c:marker val="1"/>
        <c:smooth val="0"/>
        <c:axId val="83142431"/>
        <c:axId val="83139999"/>
      </c:lineChart>
      <c:catAx>
        <c:axId val="83142431"/>
        <c:scaling>
          <c:orientation val="minMax"/>
        </c:scaling>
        <c:delete val="0"/>
        <c:axPos val="b"/>
        <c:numFmt formatCode="&quot;R&quot;#\ ##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9999"/>
        <c:crosses val="autoZero"/>
        <c:auto val="1"/>
        <c:lblAlgn val="ctr"/>
        <c:lblOffset val="100"/>
        <c:noMultiLvlLbl val="0"/>
      </c:catAx>
      <c:valAx>
        <c:axId val="83139999"/>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4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 1'!$C$70</c:f>
              <c:strCache>
                <c:ptCount val="1"/>
                <c:pt idx="0">
                  <c:v>Want</c:v>
                </c:pt>
              </c:strCache>
            </c:strRef>
          </c:tx>
          <c:spPr>
            <a:solidFill>
              <a:schemeClr val="accent1"/>
            </a:solidFill>
            <a:ln>
              <a:noFill/>
            </a:ln>
            <a:effectLst/>
            <a:sp3d/>
          </c:spPr>
          <c:invertIfNegative val="0"/>
          <c:cat>
            <c:numRef>
              <c:f>'Sheet 1'!$D$69:$M$69</c:f>
              <c:numCache>
                <c:formatCode>"R"#\ ##0</c:formatCode>
                <c:ptCount val="10"/>
                <c:pt idx="0">
                  <c:v>1</c:v>
                </c:pt>
                <c:pt idx="1">
                  <c:v>2</c:v>
                </c:pt>
                <c:pt idx="2">
                  <c:v>3</c:v>
                </c:pt>
                <c:pt idx="3">
                  <c:v>4</c:v>
                </c:pt>
                <c:pt idx="4">
                  <c:v>5</c:v>
                </c:pt>
                <c:pt idx="5">
                  <c:v>6</c:v>
                </c:pt>
                <c:pt idx="6">
                  <c:v>7</c:v>
                </c:pt>
                <c:pt idx="7">
                  <c:v>8</c:v>
                </c:pt>
                <c:pt idx="8">
                  <c:v>9</c:v>
                </c:pt>
                <c:pt idx="9">
                  <c:v>10</c:v>
                </c:pt>
              </c:numCache>
            </c:numRef>
          </c:cat>
          <c:val>
            <c:numRef>
              <c:f>'Sheet 1'!$D$70:$M$70</c:f>
              <c:numCache>
                <c:formatCode>"R"#\ ##0</c:formatCode>
                <c:ptCount val="10"/>
                <c:pt idx="0">
                  <c:v>25000</c:v>
                </c:pt>
                <c:pt idx="1">
                  <c:v>26000</c:v>
                </c:pt>
                <c:pt idx="2">
                  <c:v>27040</c:v>
                </c:pt>
                <c:pt idx="3">
                  <c:v>28121.600000000002</c:v>
                </c:pt>
                <c:pt idx="4">
                  <c:v>29246.464000000004</c:v>
                </c:pt>
                <c:pt idx="5">
                  <c:v>30416.322560000004</c:v>
                </c:pt>
                <c:pt idx="6">
                  <c:v>31632.975462400005</c:v>
                </c:pt>
                <c:pt idx="7">
                  <c:v>32898.294480896009</c:v>
                </c:pt>
                <c:pt idx="8">
                  <c:v>34214.226260131851</c:v>
                </c:pt>
                <c:pt idx="9">
                  <c:v>35582.795310537127</c:v>
                </c:pt>
              </c:numCache>
            </c:numRef>
          </c:val>
          <c:extLst>
            <c:ext xmlns:c16="http://schemas.microsoft.com/office/drawing/2014/chart" uri="{C3380CC4-5D6E-409C-BE32-E72D297353CC}">
              <c16:uniqueId val="{00000000-C5F4-A149-9A46-C4039D3E7D68}"/>
            </c:ext>
          </c:extLst>
        </c:ser>
        <c:ser>
          <c:idx val="1"/>
          <c:order val="1"/>
          <c:tx>
            <c:strRef>
              <c:f>'Sheet 1'!$C$71</c:f>
              <c:strCache>
                <c:ptCount val="1"/>
                <c:pt idx="0">
                  <c:v>In</c:v>
                </c:pt>
              </c:strCache>
            </c:strRef>
          </c:tx>
          <c:spPr>
            <a:solidFill>
              <a:schemeClr val="accent2"/>
            </a:solidFill>
            <a:ln>
              <a:noFill/>
            </a:ln>
            <a:effectLst/>
            <a:sp3d/>
          </c:spPr>
          <c:invertIfNegative val="0"/>
          <c:cat>
            <c:numRef>
              <c:f>'Sheet 1'!$D$69:$M$69</c:f>
              <c:numCache>
                <c:formatCode>"R"#\ ##0</c:formatCode>
                <c:ptCount val="10"/>
                <c:pt idx="0">
                  <c:v>1</c:v>
                </c:pt>
                <c:pt idx="1">
                  <c:v>2</c:v>
                </c:pt>
                <c:pt idx="2">
                  <c:v>3</c:v>
                </c:pt>
                <c:pt idx="3">
                  <c:v>4</c:v>
                </c:pt>
                <c:pt idx="4">
                  <c:v>5</c:v>
                </c:pt>
                <c:pt idx="5">
                  <c:v>6</c:v>
                </c:pt>
                <c:pt idx="6">
                  <c:v>7</c:v>
                </c:pt>
                <c:pt idx="7">
                  <c:v>8</c:v>
                </c:pt>
                <c:pt idx="8">
                  <c:v>9</c:v>
                </c:pt>
                <c:pt idx="9">
                  <c:v>10</c:v>
                </c:pt>
              </c:numCache>
            </c:numRef>
          </c:cat>
          <c:val>
            <c:numRef>
              <c:f>'Sheet 1'!$D$71:$M$71</c:f>
              <c:numCache>
                <c:formatCode>"R"#\ ##0</c:formatCode>
                <c:ptCount val="10"/>
                <c:pt idx="0">
                  <c:v>19896.590296961043</c:v>
                </c:pt>
                <c:pt idx="1">
                  <c:v>17056.82799515863</c:v>
                </c:pt>
                <c:pt idx="2">
                  <c:v>14622.373829593498</c:v>
                </c:pt>
                <c:pt idx="3">
                  <c:v>12535.379759534966</c:v>
                </c:pt>
                <c:pt idx="4">
                  <c:v>10746.254168234962</c:v>
                </c:pt>
                <c:pt idx="5">
                  <c:v>9212.483455913376</c:v>
                </c:pt>
                <c:pt idx="6">
                  <c:v>7897.6218221551017</c:v>
                </c:pt>
                <c:pt idx="7">
                  <c:v>6770.4252327036111</c:v>
                </c:pt>
                <c:pt idx="8">
                  <c:v>5804.1089917776399</c:v>
                </c:pt>
                <c:pt idx="9">
                  <c:v>4975.7112781794431</c:v>
                </c:pt>
              </c:numCache>
            </c:numRef>
          </c:val>
          <c:extLst>
            <c:ext xmlns:c16="http://schemas.microsoft.com/office/drawing/2014/chart" uri="{C3380CC4-5D6E-409C-BE32-E72D297353CC}">
              <c16:uniqueId val="{00000001-C5F4-A149-9A46-C4039D3E7D68}"/>
            </c:ext>
          </c:extLst>
        </c:ser>
        <c:dLbls>
          <c:showLegendKey val="0"/>
          <c:showVal val="0"/>
          <c:showCatName val="0"/>
          <c:showSerName val="0"/>
          <c:showPercent val="0"/>
          <c:showBubbleSize val="0"/>
        </c:dLbls>
        <c:gapWidth val="150"/>
        <c:shape val="box"/>
        <c:axId val="1682377808"/>
        <c:axId val="1682282688"/>
        <c:axId val="0"/>
      </c:bar3DChart>
      <c:catAx>
        <c:axId val="1682377808"/>
        <c:scaling>
          <c:orientation val="minMax"/>
        </c:scaling>
        <c:delete val="0"/>
        <c:axPos val="b"/>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282688"/>
        <c:crosses val="autoZero"/>
        <c:auto val="1"/>
        <c:lblAlgn val="ctr"/>
        <c:lblOffset val="100"/>
        <c:noMultiLvlLbl val="0"/>
      </c:catAx>
      <c:valAx>
        <c:axId val="1682282688"/>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377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38100</xdr:colOff>
      <xdr:row>34</xdr:row>
      <xdr:rowOff>71966</xdr:rowOff>
    </xdr:from>
    <xdr:to>
      <xdr:col>15</xdr:col>
      <xdr:colOff>171450</xdr:colOff>
      <xdr:row>70</xdr:row>
      <xdr:rowOff>45357</xdr:rowOff>
    </xdr:to>
    <xdr:graphicFrame macro="">
      <xdr:nvGraphicFramePr>
        <xdr:cNvPr id="2" name="Chart 1">
          <a:extLst>
            <a:ext uri="{FF2B5EF4-FFF2-40B4-BE49-F238E27FC236}">
              <a16:creationId xmlns:a16="http://schemas.microsoft.com/office/drawing/2014/main" id="{C082A6F2-1D72-344E-BA0F-D772AF786A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6064</xdr:colOff>
      <xdr:row>98</xdr:row>
      <xdr:rowOff>47404</xdr:rowOff>
    </xdr:from>
    <xdr:to>
      <xdr:col>68</xdr:col>
      <xdr:colOff>705555</xdr:colOff>
      <xdr:row>233</xdr:row>
      <xdr:rowOff>70555</xdr:rowOff>
    </xdr:to>
    <xdr:sp macro="" textlink="">
      <xdr:nvSpPr>
        <xdr:cNvPr id="11" name="Rectangle 10">
          <a:extLst>
            <a:ext uri="{FF2B5EF4-FFF2-40B4-BE49-F238E27FC236}">
              <a16:creationId xmlns:a16="http://schemas.microsoft.com/office/drawing/2014/main" id="{8FE9C621-6B3B-1D99-9BA5-6934854EA18D}"/>
            </a:ext>
          </a:extLst>
        </xdr:cNvPr>
        <xdr:cNvSpPr/>
      </xdr:nvSpPr>
      <xdr:spPr>
        <a:xfrm>
          <a:off x="6064" y="24106848"/>
          <a:ext cx="61306713" cy="28598151"/>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18</xdr:col>
      <xdr:colOff>41833</xdr:colOff>
      <xdr:row>0</xdr:row>
      <xdr:rowOff>0</xdr:rowOff>
    </xdr:from>
    <xdr:to>
      <xdr:col>68</xdr:col>
      <xdr:colOff>673877</xdr:colOff>
      <xdr:row>101</xdr:row>
      <xdr:rowOff>138816</xdr:rowOff>
    </xdr:to>
    <xdr:sp macro="" textlink="">
      <xdr:nvSpPr>
        <xdr:cNvPr id="4" name="Rectangle 3">
          <a:extLst>
            <a:ext uri="{FF2B5EF4-FFF2-40B4-BE49-F238E27FC236}">
              <a16:creationId xmlns:a16="http://schemas.microsoft.com/office/drawing/2014/main" id="{B311B1FF-DE34-014A-875C-584BF0148827}"/>
            </a:ext>
          </a:extLst>
        </xdr:cNvPr>
        <xdr:cNvSpPr/>
      </xdr:nvSpPr>
      <xdr:spPr>
        <a:xfrm>
          <a:off x="18184690" y="0"/>
          <a:ext cx="42101432" cy="246057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a:p>
          <a:pPr algn="l"/>
          <a:endParaRPr lang="en-GB" sz="1100"/>
        </a:p>
      </xdr:txBody>
    </xdr:sp>
    <xdr:clientData/>
  </xdr:twoCellAnchor>
  <xdr:twoCellAnchor editAs="oneCell">
    <xdr:from>
      <xdr:col>10</xdr:col>
      <xdr:colOff>3461</xdr:colOff>
      <xdr:row>9</xdr:row>
      <xdr:rowOff>241653</xdr:rowOff>
    </xdr:from>
    <xdr:to>
      <xdr:col>15</xdr:col>
      <xdr:colOff>711786</xdr:colOff>
      <xdr:row>24</xdr:row>
      <xdr:rowOff>170381</xdr:rowOff>
    </xdr:to>
    <xdr:pic>
      <xdr:nvPicPr>
        <xdr:cNvPr id="6" name="Picture 5">
          <a:extLst>
            <a:ext uri="{FF2B5EF4-FFF2-40B4-BE49-F238E27FC236}">
              <a16:creationId xmlns:a16="http://schemas.microsoft.com/office/drawing/2014/main" id="{3C6BEBDC-B944-9D47-BC55-38D82C3A5778}"/>
            </a:ext>
          </a:extLst>
        </xdr:cNvPr>
        <xdr:cNvPicPr>
          <a:picLocks noChangeAspect="1"/>
        </xdr:cNvPicPr>
      </xdr:nvPicPr>
      <xdr:blipFill>
        <a:blip xmlns:r="http://schemas.openxmlformats.org/officeDocument/2006/relationships" r:embed="rId2"/>
        <a:stretch>
          <a:fillRect/>
        </a:stretch>
      </xdr:blipFill>
      <xdr:spPr>
        <a:xfrm>
          <a:off x="11620226" y="3939594"/>
          <a:ext cx="4817148" cy="42990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192918</xdr:colOff>
      <xdr:row>93</xdr:row>
      <xdr:rowOff>198513</xdr:rowOff>
    </xdr:from>
    <xdr:to>
      <xdr:col>12</xdr:col>
      <xdr:colOff>725411</xdr:colOff>
      <xdr:row>122</xdr:row>
      <xdr:rowOff>38856</xdr:rowOff>
    </xdr:to>
    <xdr:graphicFrame macro="">
      <xdr:nvGraphicFramePr>
        <xdr:cNvPr id="2" name="Chart 1">
          <a:extLst>
            <a:ext uri="{FF2B5EF4-FFF2-40B4-BE49-F238E27FC236}">
              <a16:creationId xmlns:a16="http://schemas.microsoft.com/office/drawing/2014/main" id="{D013EC95-B62F-1440-8D57-179AA95D9D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93888</xdr:colOff>
      <xdr:row>91</xdr:row>
      <xdr:rowOff>155273</xdr:rowOff>
    </xdr:from>
    <xdr:to>
      <xdr:col>26</xdr:col>
      <xdr:colOff>668641</xdr:colOff>
      <xdr:row>116</xdr:row>
      <xdr:rowOff>191094</xdr:rowOff>
    </xdr:to>
    <xdr:graphicFrame macro="">
      <xdr:nvGraphicFramePr>
        <xdr:cNvPr id="3" name="Chart 2">
          <a:extLst>
            <a:ext uri="{FF2B5EF4-FFF2-40B4-BE49-F238E27FC236}">
              <a16:creationId xmlns:a16="http://schemas.microsoft.com/office/drawing/2014/main" id="{6A710759-4EFF-B73E-29A2-A101B270A7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383425</xdr:colOff>
      <xdr:row>62</xdr:row>
      <xdr:rowOff>145119</xdr:rowOff>
    </xdr:from>
    <xdr:to>
      <xdr:col>31</xdr:col>
      <xdr:colOff>137516</xdr:colOff>
      <xdr:row>90</xdr:row>
      <xdr:rowOff>24267</xdr:rowOff>
    </xdr:to>
    <xdr:graphicFrame macro="">
      <xdr:nvGraphicFramePr>
        <xdr:cNvPr id="4" name="Chart 3">
          <a:extLst>
            <a:ext uri="{FF2B5EF4-FFF2-40B4-BE49-F238E27FC236}">
              <a16:creationId xmlns:a16="http://schemas.microsoft.com/office/drawing/2014/main" id="{9AC461B4-E92F-3DE0-80CC-50AB78730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883331</xdr:colOff>
      <xdr:row>75</xdr:row>
      <xdr:rowOff>130855</xdr:rowOff>
    </xdr:from>
    <xdr:to>
      <xdr:col>7</xdr:col>
      <xdr:colOff>998991</xdr:colOff>
      <xdr:row>89</xdr:row>
      <xdr:rowOff>16555</xdr:rowOff>
    </xdr:to>
    <xdr:graphicFrame macro="">
      <xdr:nvGraphicFramePr>
        <xdr:cNvPr id="7" name="Chart 6">
          <a:extLst>
            <a:ext uri="{FF2B5EF4-FFF2-40B4-BE49-F238E27FC236}">
              <a16:creationId xmlns:a16="http://schemas.microsoft.com/office/drawing/2014/main" id="{2AE18925-9B9D-9B5A-DFE8-383CA3F3EF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89579</xdr:colOff>
      <xdr:row>75</xdr:row>
      <xdr:rowOff>142195</xdr:rowOff>
    </xdr:from>
    <xdr:to>
      <xdr:col>12</xdr:col>
      <xdr:colOff>363990</xdr:colOff>
      <xdr:row>89</xdr:row>
      <xdr:rowOff>27895</xdr:rowOff>
    </xdr:to>
    <xdr:graphicFrame macro="">
      <xdr:nvGraphicFramePr>
        <xdr:cNvPr id="8" name="Chart 7">
          <a:extLst>
            <a:ext uri="{FF2B5EF4-FFF2-40B4-BE49-F238E27FC236}">
              <a16:creationId xmlns:a16="http://schemas.microsoft.com/office/drawing/2014/main" id="{9A685681-2D25-61A1-6D35-2596803B0F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99D2-6288-864E-84DC-E25F8BE00821}">
  <sheetPr>
    <pageSetUpPr fitToPage="1"/>
  </sheetPr>
  <dimension ref="A1:R105"/>
  <sheetViews>
    <sheetView showGridLines="0" tabSelected="1" view="pageBreakPreview" zoomScale="64" zoomScaleNormal="84" zoomScaleSheetLayoutView="82" workbookViewId="0">
      <selection activeCell="C42" sqref="C42"/>
    </sheetView>
  </sheetViews>
  <sheetFormatPr baseColWidth="10" defaultRowHeight="16"/>
  <cols>
    <col min="1" max="3" width="10.33203125" customWidth="1"/>
    <col min="4" max="4" width="40.83203125" customWidth="1"/>
    <col min="5" max="5" width="27.1640625" customWidth="1"/>
    <col min="16" max="18" width="10.1640625" customWidth="1"/>
    <col min="19" max="16384" width="10.83203125" style="2"/>
  </cols>
  <sheetData>
    <row r="1" spans="1:18">
      <c r="A1" s="4"/>
      <c r="B1" s="4"/>
      <c r="C1" s="4"/>
      <c r="D1" s="4"/>
      <c r="E1" s="4"/>
      <c r="F1" s="4"/>
      <c r="G1" s="4"/>
      <c r="H1" s="4"/>
      <c r="I1" s="4"/>
      <c r="J1" s="4"/>
      <c r="K1" s="4"/>
      <c r="L1" s="4"/>
      <c r="M1" s="4"/>
      <c r="N1" s="4"/>
      <c r="O1" s="4"/>
      <c r="P1" s="4"/>
      <c r="Q1" s="4"/>
      <c r="R1" s="4"/>
    </row>
    <row r="2" spans="1:18">
      <c r="A2" s="4"/>
      <c r="B2" s="4"/>
      <c r="C2" s="4"/>
      <c r="D2" s="4"/>
      <c r="E2" s="4"/>
      <c r="F2" s="4"/>
      <c r="G2" s="4"/>
      <c r="H2" s="4"/>
      <c r="I2" s="4"/>
      <c r="J2" s="4"/>
      <c r="K2" s="4"/>
      <c r="L2" s="4"/>
      <c r="M2" s="4"/>
      <c r="N2" s="4"/>
      <c r="O2" s="4"/>
      <c r="P2" s="4"/>
      <c r="Q2" s="4"/>
      <c r="R2" s="4"/>
    </row>
    <row r="3" spans="1:18" ht="23">
      <c r="A3" s="4"/>
      <c r="B3" s="4"/>
      <c r="C3" s="4"/>
      <c r="D3" s="5"/>
      <c r="E3" s="4"/>
      <c r="F3" s="4"/>
      <c r="G3" s="4"/>
      <c r="H3" s="4"/>
      <c r="I3" s="4"/>
      <c r="J3" s="4"/>
      <c r="K3" s="4"/>
      <c r="L3" s="4"/>
      <c r="M3" s="4"/>
      <c r="N3" s="4"/>
      <c r="O3" s="4"/>
      <c r="P3" s="4"/>
      <c r="Q3" s="4"/>
      <c r="R3" s="4"/>
    </row>
    <row r="4" spans="1:18" ht="32">
      <c r="A4" s="4"/>
      <c r="B4" s="4"/>
      <c r="C4" s="6"/>
      <c r="D4" s="7"/>
      <c r="E4" s="8"/>
      <c r="F4" s="8"/>
      <c r="G4" s="8"/>
      <c r="H4" s="8"/>
      <c r="I4" s="8"/>
      <c r="J4" s="8"/>
      <c r="K4" s="8"/>
      <c r="L4" s="8"/>
      <c r="M4" s="8"/>
      <c r="N4" s="6"/>
      <c r="O4" s="6"/>
      <c r="P4" s="6"/>
      <c r="Q4" s="4"/>
      <c r="R4" s="4"/>
    </row>
    <row r="5" spans="1:18" ht="88">
      <c r="A5" s="4"/>
      <c r="B5" s="4"/>
      <c r="C5" s="6"/>
      <c r="D5" s="12" t="s">
        <v>70</v>
      </c>
      <c r="E5" s="12"/>
      <c r="F5" s="12"/>
      <c r="G5" s="12"/>
      <c r="H5" s="12"/>
      <c r="I5" s="12"/>
      <c r="J5" s="12"/>
      <c r="K5" s="12"/>
      <c r="L5" s="12"/>
      <c r="M5" s="12"/>
      <c r="N5" s="12"/>
      <c r="O5" s="12"/>
      <c r="P5" s="6"/>
      <c r="Q5" s="4"/>
      <c r="R5" s="4"/>
    </row>
    <row r="6" spans="1:18" ht="28">
      <c r="A6" s="4"/>
      <c r="B6" s="4"/>
      <c r="C6" s="6"/>
      <c r="D6" s="9"/>
      <c r="E6" s="8"/>
      <c r="F6" s="8"/>
      <c r="G6" s="8"/>
      <c r="H6" s="8"/>
      <c r="I6" s="8"/>
      <c r="J6" s="8"/>
      <c r="K6" s="8"/>
      <c r="L6" s="8"/>
      <c r="M6" s="8"/>
      <c r="N6" s="6"/>
      <c r="O6" s="6"/>
      <c r="P6" s="6"/>
      <c r="Q6" s="4"/>
      <c r="R6" s="4"/>
    </row>
    <row r="7" spans="1:18" ht="28">
      <c r="A7" s="4"/>
      <c r="B7" s="4"/>
      <c r="C7" s="6"/>
      <c r="D7" s="9"/>
      <c r="E7" s="8"/>
      <c r="F7" s="8"/>
      <c r="G7" s="8"/>
      <c r="H7" s="8"/>
      <c r="I7" s="8"/>
      <c r="J7" s="8"/>
      <c r="K7" s="8"/>
      <c r="L7" s="8"/>
      <c r="M7" s="8"/>
      <c r="N7" s="6"/>
      <c r="O7" s="6"/>
      <c r="P7" s="6"/>
      <c r="Q7" s="4"/>
      <c r="R7" s="4"/>
    </row>
    <row r="8" spans="1:18" ht="28">
      <c r="A8" s="4"/>
      <c r="B8" s="4"/>
      <c r="C8" s="6"/>
      <c r="D8" s="13" t="s">
        <v>84</v>
      </c>
      <c r="E8" s="14"/>
      <c r="F8" s="14"/>
      <c r="G8" s="14"/>
      <c r="H8" s="14"/>
      <c r="I8" s="14"/>
      <c r="J8" s="14"/>
      <c r="K8" s="14"/>
      <c r="L8" s="14"/>
      <c r="M8" s="14"/>
      <c r="N8" s="6"/>
      <c r="O8" s="6"/>
      <c r="P8" s="6"/>
      <c r="Q8" s="4"/>
      <c r="R8" s="4"/>
    </row>
    <row r="9" spans="1:18" ht="28">
      <c r="A9" s="4"/>
      <c r="B9" s="4"/>
      <c r="C9" s="6"/>
      <c r="D9" s="15"/>
      <c r="E9" s="14"/>
      <c r="F9" s="14"/>
      <c r="G9" s="14"/>
      <c r="H9" s="14"/>
      <c r="I9" s="14"/>
      <c r="J9" s="14"/>
      <c r="K9" s="14"/>
      <c r="L9" s="14"/>
      <c r="M9" s="14"/>
      <c r="N9" s="6"/>
      <c r="O9" s="6"/>
      <c r="P9" s="6"/>
      <c r="Q9" s="4"/>
      <c r="R9" s="4"/>
    </row>
    <row r="10" spans="1:18" ht="23">
      <c r="A10" s="4"/>
      <c r="B10" s="4"/>
      <c r="C10" s="6"/>
      <c r="D10" s="16"/>
      <c r="E10" s="14"/>
      <c r="F10" s="14"/>
      <c r="G10" s="14"/>
      <c r="H10" s="14"/>
      <c r="I10" s="14"/>
      <c r="J10" s="14"/>
      <c r="K10" s="14"/>
      <c r="L10" s="14"/>
      <c r="M10" s="14"/>
      <c r="N10" s="6"/>
      <c r="O10" s="6"/>
      <c r="P10" s="6"/>
      <c r="Q10" s="4"/>
      <c r="R10" s="4"/>
    </row>
    <row r="11" spans="1:18">
      <c r="A11" s="4"/>
      <c r="B11" s="4"/>
      <c r="C11" s="6"/>
      <c r="D11" s="14"/>
      <c r="E11" s="14"/>
      <c r="F11" s="14"/>
      <c r="G11" s="14"/>
      <c r="H11" s="14"/>
      <c r="I11" s="14"/>
      <c r="J11" s="14"/>
      <c r="K11" s="14"/>
      <c r="L11" s="14"/>
      <c r="M11" s="14"/>
      <c r="N11" s="6"/>
      <c r="O11" s="6"/>
      <c r="P11" s="6"/>
      <c r="Q11" s="4"/>
      <c r="R11" s="4"/>
    </row>
    <row r="12" spans="1:18" ht="23">
      <c r="A12" s="4"/>
      <c r="B12" s="4"/>
      <c r="C12" s="6"/>
      <c r="D12" s="27" t="s">
        <v>6</v>
      </c>
      <c r="E12" s="59">
        <v>46</v>
      </c>
      <c r="F12" s="26" t="s">
        <v>71</v>
      </c>
      <c r="G12" s="14"/>
      <c r="H12" s="14"/>
      <c r="I12" s="14"/>
      <c r="J12" s="14"/>
      <c r="K12" s="14"/>
      <c r="L12" s="14"/>
      <c r="M12" s="14"/>
      <c r="N12" s="6"/>
      <c r="O12" s="6"/>
      <c r="P12" s="6"/>
      <c r="Q12" s="4"/>
      <c r="R12" s="4"/>
    </row>
    <row r="13" spans="1:18" ht="23">
      <c r="A13" s="4"/>
      <c r="B13" s="4"/>
      <c r="C13" s="6"/>
      <c r="D13" s="27" t="s">
        <v>7</v>
      </c>
      <c r="E13" s="60">
        <v>0</v>
      </c>
      <c r="F13" s="26" t="s">
        <v>71</v>
      </c>
      <c r="G13" s="14"/>
      <c r="H13" s="14"/>
      <c r="I13" s="14"/>
      <c r="J13" s="14"/>
      <c r="K13" s="14"/>
      <c r="L13" s="14"/>
      <c r="M13" s="14"/>
      <c r="N13" s="6"/>
      <c r="O13" s="6"/>
      <c r="P13" s="6"/>
      <c r="Q13" s="4"/>
      <c r="R13" s="4"/>
    </row>
    <row r="14" spans="1:18" ht="23">
      <c r="A14" s="4"/>
      <c r="B14" s="4"/>
      <c r="C14" s="6"/>
      <c r="D14" s="27" t="s">
        <v>0</v>
      </c>
      <c r="E14" s="60">
        <v>3000</v>
      </c>
      <c r="F14" s="26" t="s">
        <v>71</v>
      </c>
      <c r="G14" s="14"/>
      <c r="H14" s="14"/>
      <c r="I14" s="14"/>
      <c r="J14" s="14"/>
      <c r="K14" s="14"/>
      <c r="L14" s="14"/>
      <c r="M14" s="14"/>
      <c r="N14" s="6"/>
      <c r="O14" s="6"/>
      <c r="P14" s="6"/>
      <c r="Q14" s="4"/>
      <c r="R14" s="4"/>
    </row>
    <row r="15" spans="1:18" ht="23">
      <c r="A15" s="4"/>
      <c r="B15" s="4"/>
      <c r="C15" s="6"/>
      <c r="D15" s="27" t="s">
        <v>72</v>
      </c>
      <c r="E15" s="61">
        <v>0.05</v>
      </c>
      <c r="F15" s="26" t="s">
        <v>71</v>
      </c>
      <c r="G15" s="14"/>
      <c r="H15" s="14"/>
      <c r="I15" s="14"/>
      <c r="J15" s="14"/>
      <c r="K15" s="14"/>
      <c r="L15" s="14"/>
      <c r="M15" s="14"/>
      <c r="N15" s="6"/>
      <c r="O15" s="6"/>
      <c r="P15" s="6"/>
      <c r="Q15" s="4"/>
      <c r="R15" s="4"/>
    </row>
    <row r="16" spans="1:18" ht="23">
      <c r="A16" s="4"/>
      <c r="B16" s="4"/>
      <c r="C16" s="6"/>
      <c r="D16" s="27" t="s">
        <v>73</v>
      </c>
      <c r="E16" s="61">
        <v>0.04</v>
      </c>
      <c r="F16" s="26" t="s">
        <v>71</v>
      </c>
      <c r="G16" s="14"/>
      <c r="H16" s="14"/>
      <c r="I16" s="14"/>
      <c r="J16" s="14"/>
      <c r="K16" s="14"/>
      <c r="L16" s="14"/>
      <c r="M16" s="14"/>
      <c r="N16" s="6"/>
      <c r="O16" s="6"/>
      <c r="P16" s="6"/>
      <c r="Q16" s="4"/>
      <c r="R16" s="4"/>
    </row>
    <row r="17" spans="1:18" ht="23">
      <c r="A17" s="4"/>
      <c r="B17" s="4"/>
      <c r="C17" s="6"/>
      <c r="D17" s="27" t="s">
        <v>74</v>
      </c>
      <c r="E17" s="61">
        <v>0.09</v>
      </c>
      <c r="F17" s="26" t="s">
        <v>71</v>
      </c>
      <c r="G17" s="14"/>
      <c r="H17" s="14"/>
      <c r="I17" s="14"/>
      <c r="J17" s="14"/>
      <c r="K17" s="14"/>
      <c r="L17" s="14"/>
      <c r="M17" s="14"/>
      <c r="N17" s="6"/>
      <c r="O17" s="6"/>
      <c r="P17" s="6"/>
      <c r="Q17" s="4"/>
      <c r="R17" s="4"/>
    </row>
    <row r="18" spans="1:18" ht="23">
      <c r="A18" s="4"/>
      <c r="B18" s="4"/>
      <c r="C18" s="6"/>
      <c r="D18" s="27" t="s">
        <v>17</v>
      </c>
      <c r="E18" s="61">
        <v>7.0000000000000007E-2</v>
      </c>
      <c r="F18" s="26" t="s">
        <v>71</v>
      </c>
      <c r="G18" s="14"/>
      <c r="H18" s="14"/>
      <c r="I18" s="14"/>
      <c r="J18" s="14"/>
      <c r="K18" s="14"/>
      <c r="L18" s="14"/>
      <c r="M18" s="14"/>
      <c r="N18" s="6"/>
      <c r="O18" s="6"/>
      <c r="P18" s="6"/>
      <c r="Q18" s="4"/>
      <c r="R18" s="4"/>
    </row>
    <row r="19" spans="1:18" ht="23">
      <c r="A19" s="4"/>
      <c r="B19" s="4"/>
      <c r="C19" s="6"/>
      <c r="D19" s="27" t="s">
        <v>4</v>
      </c>
      <c r="E19" s="59">
        <v>65</v>
      </c>
      <c r="F19" s="26" t="s">
        <v>71</v>
      </c>
      <c r="G19" s="14"/>
      <c r="H19" s="14"/>
      <c r="I19" s="14"/>
      <c r="J19" s="14"/>
      <c r="K19" s="14"/>
      <c r="L19" s="14"/>
      <c r="M19" s="14"/>
      <c r="N19" s="6"/>
      <c r="O19" s="6"/>
      <c r="P19" s="6"/>
      <c r="Q19" s="4"/>
      <c r="R19" s="4"/>
    </row>
    <row r="20" spans="1:18" ht="23">
      <c r="A20" s="4"/>
      <c r="B20" s="4"/>
      <c r="C20" s="6"/>
      <c r="D20" s="27" t="s">
        <v>5</v>
      </c>
      <c r="E20" s="59">
        <v>20</v>
      </c>
      <c r="F20" s="26" t="s">
        <v>71</v>
      </c>
      <c r="G20" s="14"/>
      <c r="H20" s="14"/>
      <c r="I20" s="14"/>
      <c r="J20" s="14"/>
      <c r="K20" s="14"/>
      <c r="L20" s="14"/>
      <c r="M20" s="14"/>
      <c r="N20" s="6"/>
      <c r="O20" s="6"/>
      <c r="P20" s="6"/>
      <c r="Q20" s="4"/>
      <c r="R20" s="4"/>
    </row>
    <row r="21" spans="1:18" ht="23">
      <c r="A21" s="4"/>
      <c r="B21" s="4"/>
      <c r="C21" s="6"/>
      <c r="D21" s="27" t="s">
        <v>9</v>
      </c>
      <c r="E21" s="60">
        <v>25000</v>
      </c>
      <c r="F21" s="26" t="s">
        <v>83</v>
      </c>
      <c r="G21" s="14"/>
      <c r="H21" s="14"/>
      <c r="I21" s="14"/>
      <c r="J21" s="14"/>
      <c r="K21" s="14"/>
      <c r="L21" s="14"/>
      <c r="M21" s="14"/>
      <c r="N21" s="6"/>
      <c r="O21" s="6"/>
      <c r="P21" s="6"/>
      <c r="Q21" s="4"/>
      <c r="R21" s="4"/>
    </row>
    <row r="22" spans="1:18" ht="23">
      <c r="A22" s="4"/>
      <c r="B22" s="4"/>
      <c r="C22" s="6"/>
      <c r="D22" s="17"/>
      <c r="E22" s="18"/>
      <c r="F22" s="14"/>
      <c r="G22" s="14"/>
      <c r="H22" s="14"/>
      <c r="I22" s="14"/>
      <c r="J22" s="14"/>
      <c r="K22" s="14"/>
      <c r="L22" s="14"/>
      <c r="M22" s="14"/>
      <c r="N22" s="6"/>
      <c r="O22" s="6"/>
      <c r="P22" s="6"/>
      <c r="Q22" s="4"/>
      <c r="R22" s="4"/>
    </row>
    <row r="23" spans="1:18" ht="23">
      <c r="A23" s="4"/>
      <c r="B23" s="4"/>
      <c r="C23" s="6"/>
      <c r="D23" s="17" t="s">
        <v>25</v>
      </c>
      <c r="E23" s="19">
        <f>'Sheet 1'!$C$23</f>
        <v>2874453.5912390477</v>
      </c>
      <c r="F23" s="14"/>
      <c r="G23" s="14"/>
      <c r="H23" s="14"/>
      <c r="I23" s="14"/>
      <c r="J23" s="14"/>
      <c r="K23" s="14"/>
      <c r="L23" s="14"/>
      <c r="M23" s="14"/>
      <c r="N23" s="6"/>
      <c r="O23" s="6"/>
      <c r="P23" s="6"/>
      <c r="Q23" s="4"/>
      <c r="R23" s="4"/>
    </row>
    <row r="24" spans="1:18" ht="23">
      <c r="A24" s="4"/>
      <c r="B24" s="4"/>
      <c r="C24" s="6"/>
      <c r="D24" s="17" t="s">
        <v>12</v>
      </c>
      <c r="E24" s="20">
        <f>'Sheet 1'!$C$24</f>
        <v>15161701.172253834</v>
      </c>
      <c r="F24" s="14"/>
      <c r="G24" s="14"/>
      <c r="H24" s="14"/>
      <c r="I24" s="14"/>
      <c r="J24" s="14"/>
      <c r="K24" s="14"/>
      <c r="L24" s="14"/>
      <c r="M24" s="14"/>
      <c r="N24" s="6"/>
      <c r="O24" s="6"/>
      <c r="P24" s="6"/>
      <c r="Q24" s="4"/>
      <c r="R24" s="4"/>
    </row>
    <row r="25" spans="1:18" ht="23">
      <c r="A25" s="4"/>
      <c r="B25" s="4"/>
      <c r="C25" s="6"/>
      <c r="D25" s="17"/>
      <c r="E25" s="21"/>
      <c r="F25" s="14"/>
      <c r="G25" s="14"/>
      <c r="H25" s="14"/>
      <c r="I25" s="14"/>
      <c r="J25" s="14"/>
      <c r="K25" s="14"/>
      <c r="L25" s="14"/>
      <c r="M25" s="14"/>
      <c r="N25" s="6"/>
      <c r="O25" s="6"/>
      <c r="P25" s="6"/>
      <c r="Q25" s="4"/>
      <c r="R25" s="4"/>
    </row>
    <row r="26" spans="1:18" ht="23">
      <c r="A26" s="4"/>
      <c r="B26" s="4"/>
      <c r="C26" s="6"/>
      <c r="D26" s="22"/>
      <c r="E26" s="14"/>
      <c r="F26" s="14"/>
      <c r="G26" s="14"/>
      <c r="H26" s="14"/>
      <c r="I26" s="14"/>
      <c r="J26" s="14"/>
      <c r="K26" s="14"/>
      <c r="L26" s="14"/>
      <c r="M26" s="14"/>
      <c r="N26" s="6"/>
      <c r="O26" s="6"/>
      <c r="P26" s="6"/>
      <c r="Q26" s="4"/>
      <c r="R26" s="4"/>
    </row>
    <row r="27" spans="1:18" ht="23">
      <c r="A27" s="4"/>
      <c r="B27" s="4"/>
      <c r="C27" s="6"/>
      <c r="D27" s="23" t="str">
        <f>'Sheet 1'!$E$28</f>
        <v xml:space="preserve">Your retirement planning is around 19% sufficient. Your Retirement Fund would last around 6 years. </v>
      </c>
      <c r="E27" s="24"/>
      <c r="F27" s="24"/>
      <c r="G27" s="24"/>
      <c r="H27" s="14"/>
      <c r="I27" s="14"/>
      <c r="J27" s="14"/>
      <c r="K27" s="14"/>
      <c r="L27" s="14"/>
      <c r="M27" s="14"/>
      <c r="N27" s="6"/>
      <c r="O27" s="6"/>
      <c r="P27" s="6"/>
      <c r="Q27" s="4"/>
      <c r="R27" s="4"/>
    </row>
    <row r="28" spans="1:18" ht="23">
      <c r="A28" s="4"/>
      <c r="B28" s="4"/>
      <c r="C28" s="6"/>
      <c r="D28" s="23" t="str">
        <f>'Sheet 1'!E29</f>
        <v>Contributing R3000 with current savings of R0 will give you around R2874454.</v>
      </c>
      <c r="E28" s="24"/>
      <c r="F28" s="24"/>
      <c r="G28" s="24"/>
      <c r="H28" s="14"/>
      <c r="I28" s="14"/>
      <c r="J28" s="14"/>
      <c r="K28" s="14"/>
      <c r="L28" s="14"/>
      <c r="M28" s="14"/>
      <c r="N28" s="6"/>
      <c r="O28" s="6"/>
      <c r="P28" s="6"/>
      <c r="Q28" s="4"/>
      <c r="R28" s="4"/>
    </row>
    <row r="29" spans="1:18" ht="23">
      <c r="A29" s="4"/>
      <c r="B29" s="4"/>
      <c r="C29" s="6"/>
      <c r="D29" s="23" t="str">
        <f>'Sheet 1'!E30</f>
        <v>To retire with a monthly amount of R25000 in present value you would need around R15161701.</v>
      </c>
      <c r="E29" s="24"/>
      <c r="F29" s="24"/>
      <c r="G29" s="24"/>
      <c r="H29" s="14"/>
      <c r="I29" s="14"/>
      <c r="J29" s="14"/>
      <c r="K29" s="14"/>
      <c r="L29" s="14"/>
      <c r="M29" s="14"/>
      <c r="N29" s="6"/>
      <c r="O29" s="6"/>
      <c r="P29" s="6"/>
      <c r="Q29" s="4"/>
      <c r="R29" s="4"/>
    </row>
    <row r="30" spans="1:18" ht="23">
      <c r="A30" s="4"/>
      <c r="B30" s="4"/>
      <c r="C30" s="6"/>
      <c r="D30" s="23"/>
      <c r="E30" s="24"/>
      <c r="F30" s="24"/>
      <c r="G30" s="24"/>
      <c r="H30" s="14"/>
      <c r="I30" s="14"/>
      <c r="J30" s="14"/>
      <c r="K30" s="14"/>
      <c r="L30" s="14"/>
      <c r="M30" s="14"/>
      <c r="N30" s="6"/>
      <c r="O30" s="6"/>
      <c r="P30" s="6"/>
      <c r="Q30" s="4"/>
      <c r="R30" s="4"/>
    </row>
    <row r="31" spans="1:18" ht="23">
      <c r="A31" s="4"/>
      <c r="B31" s="4"/>
      <c r="C31" s="6"/>
      <c r="D31" s="23" t="s">
        <v>28</v>
      </c>
      <c r="E31" s="24"/>
      <c r="F31" s="24"/>
      <c r="G31" s="24"/>
      <c r="H31" s="14"/>
      <c r="I31" s="14"/>
      <c r="J31" s="14"/>
      <c r="K31" s="14"/>
      <c r="L31" s="14"/>
      <c r="M31" s="14"/>
      <c r="N31" s="6"/>
      <c r="O31" s="6"/>
      <c r="P31" s="6"/>
      <c r="Q31" s="4"/>
      <c r="R31" s="4"/>
    </row>
    <row r="32" spans="1:18" ht="23">
      <c r="A32" s="4"/>
      <c r="B32" s="4"/>
      <c r="C32" s="6"/>
      <c r="D32" s="23" t="s">
        <v>29</v>
      </c>
      <c r="E32" s="24"/>
      <c r="F32" s="24"/>
      <c r="G32" s="24"/>
      <c r="H32" s="14"/>
      <c r="I32" s="14"/>
      <c r="J32" s="14"/>
      <c r="K32" s="14"/>
      <c r="L32" s="14"/>
      <c r="M32" s="14"/>
      <c r="N32" s="6"/>
      <c r="O32" s="6"/>
      <c r="P32" s="6"/>
      <c r="Q32" s="4"/>
      <c r="R32" s="4"/>
    </row>
    <row r="33" spans="1:18">
      <c r="A33" s="4"/>
      <c r="B33" s="4"/>
      <c r="C33" s="6"/>
      <c r="D33" s="6"/>
      <c r="E33" s="6"/>
      <c r="F33" s="6"/>
      <c r="G33" s="6"/>
      <c r="H33" s="6"/>
      <c r="I33" s="6"/>
      <c r="J33" s="6"/>
      <c r="K33" s="6"/>
      <c r="L33" s="6"/>
      <c r="M33" s="6"/>
      <c r="N33" s="6"/>
      <c r="O33" s="6"/>
      <c r="P33" s="6"/>
      <c r="Q33" s="4"/>
      <c r="R33" s="4"/>
    </row>
    <row r="34" spans="1:18">
      <c r="A34" s="4"/>
      <c r="B34" s="4"/>
      <c r="C34" s="6"/>
      <c r="D34" s="6"/>
      <c r="E34" s="6"/>
      <c r="F34" s="6"/>
      <c r="G34" s="6"/>
      <c r="H34" s="6"/>
      <c r="I34" s="6"/>
      <c r="J34" s="6"/>
      <c r="K34" s="6"/>
      <c r="L34" s="6"/>
      <c r="M34" s="6"/>
      <c r="N34" s="6"/>
      <c r="O34" s="6"/>
      <c r="P34" s="6"/>
      <c r="Q34" s="4"/>
      <c r="R34" s="4"/>
    </row>
    <row r="35" spans="1:18">
      <c r="A35" s="4"/>
      <c r="B35" s="4"/>
      <c r="C35" s="6"/>
      <c r="D35" s="6"/>
      <c r="E35" s="6"/>
      <c r="F35" s="6"/>
      <c r="G35" s="6"/>
      <c r="H35" s="6"/>
      <c r="I35" s="6"/>
      <c r="J35" s="6"/>
      <c r="K35" s="6"/>
      <c r="L35" s="6"/>
      <c r="M35" s="6"/>
      <c r="N35" s="6"/>
      <c r="O35" s="6"/>
      <c r="P35" s="6"/>
      <c r="Q35" s="4"/>
      <c r="R35" s="4"/>
    </row>
    <row r="36" spans="1:18">
      <c r="A36" s="4"/>
      <c r="B36" s="4"/>
      <c r="C36" s="6"/>
      <c r="D36" s="6"/>
      <c r="E36" s="6"/>
      <c r="F36" s="6"/>
      <c r="G36" s="6"/>
      <c r="H36" s="6"/>
      <c r="I36" s="6"/>
      <c r="J36" s="6"/>
      <c r="K36" s="6"/>
      <c r="L36" s="6"/>
      <c r="M36" s="6"/>
      <c r="N36" s="6"/>
      <c r="O36" s="6"/>
      <c r="P36" s="6"/>
      <c r="Q36" s="4"/>
      <c r="R36" s="4"/>
    </row>
    <row r="37" spans="1:18">
      <c r="A37" s="4"/>
      <c r="B37" s="4"/>
      <c r="C37" s="6"/>
      <c r="D37" s="6"/>
      <c r="E37" s="6"/>
      <c r="F37" s="6"/>
      <c r="G37" s="6"/>
      <c r="H37" s="6"/>
      <c r="I37" s="6"/>
      <c r="J37" s="6"/>
      <c r="K37" s="6"/>
      <c r="L37" s="6"/>
      <c r="M37" s="6"/>
      <c r="N37" s="6"/>
      <c r="O37" s="6"/>
      <c r="P37" s="6"/>
      <c r="Q37" s="4"/>
      <c r="R37" s="4"/>
    </row>
    <row r="38" spans="1:18">
      <c r="A38" s="4"/>
      <c r="B38" s="4"/>
      <c r="C38" s="6"/>
      <c r="D38" s="6"/>
      <c r="E38" s="6"/>
      <c r="F38" s="6"/>
      <c r="G38" s="6"/>
      <c r="H38" s="6"/>
      <c r="I38" s="6"/>
      <c r="J38" s="6"/>
      <c r="K38" s="6"/>
      <c r="L38" s="6"/>
      <c r="M38" s="6"/>
      <c r="N38" s="6"/>
      <c r="O38" s="6"/>
      <c r="P38" s="6"/>
      <c r="Q38" s="4"/>
      <c r="R38" s="4"/>
    </row>
    <row r="39" spans="1:18">
      <c r="A39" s="4"/>
      <c r="B39" s="4"/>
      <c r="C39" s="6"/>
      <c r="D39" s="6"/>
      <c r="E39" s="6"/>
      <c r="F39" s="6"/>
      <c r="G39" s="6"/>
      <c r="H39" s="6"/>
      <c r="I39" s="6"/>
      <c r="J39" s="6"/>
      <c r="K39" s="6"/>
      <c r="L39" s="6"/>
      <c r="M39" s="6"/>
      <c r="N39" s="6"/>
      <c r="O39" s="6"/>
      <c r="P39" s="6"/>
      <c r="Q39" s="4"/>
      <c r="R39" s="4"/>
    </row>
    <row r="40" spans="1:18">
      <c r="A40" s="4"/>
      <c r="B40" s="4"/>
      <c r="C40" s="6"/>
      <c r="D40" s="6"/>
      <c r="E40" s="6"/>
      <c r="F40" s="6"/>
      <c r="G40" s="6"/>
      <c r="H40" s="6"/>
      <c r="I40" s="6"/>
      <c r="J40" s="6"/>
      <c r="K40" s="6"/>
      <c r="L40" s="6"/>
      <c r="M40" s="6"/>
      <c r="N40" s="6"/>
      <c r="O40" s="6"/>
      <c r="P40" s="6"/>
      <c r="Q40" s="4"/>
      <c r="R40" s="4"/>
    </row>
    <row r="41" spans="1:18">
      <c r="A41" s="4"/>
      <c r="B41" s="4"/>
      <c r="C41" s="6"/>
      <c r="D41" s="6"/>
      <c r="E41" s="6"/>
      <c r="F41" s="6"/>
      <c r="G41" s="6"/>
      <c r="H41" s="6"/>
      <c r="I41" s="6"/>
      <c r="J41" s="6"/>
      <c r="K41" s="6"/>
      <c r="L41" s="6"/>
      <c r="M41" s="6"/>
      <c r="N41" s="6"/>
      <c r="O41" s="6"/>
      <c r="P41" s="6"/>
      <c r="Q41" s="4"/>
      <c r="R41" s="4"/>
    </row>
    <row r="42" spans="1:18">
      <c r="A42" s="4"/>
      <c r="B42" s="4"/>
      <c r="C42" s="6"/>
      <c r="D42" s="6"/>
      <c r="E42" s="6"/>
      <c r="F42" s="6"/>
      <c r="G42" s="6"/>
      <c r="H42" s="6"/>
      <c r="I42" s="6"/>
      <c r="J42" s="6"/>
      <c r="K42" s="6"/>
      <c r="L42" s="6"/>
      <c r="M42" s="6"/>
      <c r="N42" s="6"/>
      <c r="O42" s="6"/>
      <c r="P42" s="6"/>
      <c r="Q42" s="4"/>
      <c r="R42" s="4"/>
    </row>
    <row r="43" spans="1:18">
      <c r="A43" s="4"/>
      <c r="B43" s="4"/>
      <c r="C43" s="6"/>
      <c r="D43" s="6"/>
      <c r="E43" s="6"/>
      <c r="F43" s="6"/>
      <c r="G43" s="6"/>
      <c r="H43" s="6"/>
      <c r="I43" s="6"/>
      <c r="J43" s="6"/>
      <c r="K43" s="6"/>
      <c r="L43" s="6"/>
      <c r="M43" s="6"/>
      <c r="N43" s="6"/>
      <c r="O43" s="6"/>
      <c r="P43" s="6"/>
      <c r="Q43" s="4"/>
      <c r="R43" s="4"/>
    </row>
    <row r="44" spans="1:18">
      <c r="A44" s="4"/>
      <c r="B44" s="4"/>
      <c r="C44" s="6"/>
      <c r="D44" s="6"/>
      <c r="E44" s="6"/>
      <c r="F44" s="6"/>
      <c r="G44" s="6"/>
      <c r="H44" s="6"/>
      <c r="I44" s="6"/>
      <c r="J44" s="6"/>
      <c r="K44" s="6"/>
      <c r="L44" s="6"/>
      <c r="M44" s="6"/>
      <c r="N44" s="6"/>
      <c r="O44" s="6"/>
      <c r="P44" s="6"/>
      <c r="Q44" s="4"/>
      <c r="R44" s="4"/>
    </row>
    <row r="45" spans="1:18">
      <c r="A45" s="4"/>
      <c r="B45" s="4"/>
      <c r="C45" s="6"/>
      <c r="D45" s="6"/>
      <c r="E45" s="6"/>
      <c r="F45" s="6"/>
      <c r="G45" s="6"/>
      <c r="H45" s="6"/>
      <c r="I45" s="6"/>
      <c r="J45" s="6"/>
      <c r="K45" s="6"/>
      <c r="L45" s="6"/>
      <c r="M45" s="6"/>
      <c r="N45" s="6"/>
      <c r="O45" s="6"/>
      <c r="P45" s="6"/>
      <c r="Q45" s="4"/>
      <c r="R45" s="4"/>
    </row>
    <row r="46" spans="1:18">
      <c r="A46" s="4"/>
      <c r="B46" s="4"/>
      <c r="C46" s="6"/>
      <c r="D46" s="6"/>
      <c r="E46" s="6"/>
      <c r="F46" s="6"/>
      <c r="G46" s="6"/>
      <c r="H46" s="6"/>
      <c r="I46" s="6"/>
      <c r="J46" s="6"/>
      <c r="K46" s="6"/>
      <c r="L46" s="6"/>
      <c r="M46" s="6"/>
      <c r="N46" s="6"/>
      <c r="O46" s="6"/>
      <c r="P46" s="6"/>
      <c r="Q46" s="4"/>
      <c r="R46" s="4"/>
    </row>
    <row r="47" spans="1:18">
      <c r="A47" s="4"/>
      <c r="B47" s="4"/>
      <c r="C47" s="6"/>
      <c r="D47" s="6"/>
      <c r="E47" s="6"/>
      <c r="F47" s="6"/>
      <c r="G47" s="6"/>
      <c r="H47" s="6"/>
      <c r="I47" s="6"/>
      <c r="J47" s="6"/>
      <c r="K47" s="6"/>
      <c r="L47" s="6"/>
      <c r="M47" s="6"/>
      <c r="N47" s="6"/>
      <c r="O47" s="6"/>
      <c r="P47" s="6"/>
      <c r="Q47" s="4"/>
      <c r="R47" s="4"/>
    </row>
    <row r="48" spans="1:18">
      <c r="A48" s="4"/>
      <c r="B48" s="4"/>
      <c r="C48" s="6"/>
      <c r="D48" s="6"/>
      <c r="E48" s="6"/>
      <c r="F48" s="6"/>
      <c r="G48" s="6"/>
      <c r="H48" s="6"/>
      <c r="I48" s="6"/>
      <c r="J48" s="6"/>
      <c r="K48" s="6"/>
      <c r="L48" s="6"/>
      <c r="M48" s="6"/>
      <c r="N48" s="6"/>
      <c r="O48" s="6"/>
      <c r="P48" s="6"/>
      <c r="Q48" s="4"/>
      <c r="R48" s="4"/>
    </row>
    <row r="49" spans="1:18">
      <c r="A49" s="4"/>
      <c r="B49" s="4"/>
      <c r="C49" s="6"/>
      <c r="D49" s="6"/>
      <c r="E49" s="6"/>
      <c r="F49" s="6"/>
      <c r="G49" s="6"/>
      <c r="H49" s="6"/>
      <c r="I49" s="6"/>
      <c r="J49" s="6"/>
      <c r="K49" s="6"/>
      <c r="L49" s="6"/>
      <c r="M49" s="6"/>
      <c r="N49" s="6"/>
      <c r="O49" s="6"/>
      <c r="P49" s="6"/>
      <c r="Q49" s="4"/>
      <c r="R49" s="4"/>
    </row>
    <row r="50" spans="1:18">
      <c r="A50" s="4"/>
      <c r="B50" s="4"/>
      <c r="C50" s="6"/>
      <c r="D50" s="6"/>
      <c r="E50" s="6"/>
      <c r="F50" s="6"/>
      <c r="G50" s="6"/>
      <c r="H50" s="6"/>
      <c r="I50" s="6"/>
      <c r="J50" s="6"/>
      <c r="K50" s="6"/>
      <c r="L50" s="6"/>
      <c r="M50" s="6"/>
      <c r="N50" s="6"/>
      <c r="O50" s="6"/>
      <c r="P50" s="6"/>
      <c r="Q50" s="4"/>
      <c r="R50" s="4"/>
    </row>
    <row r="51" spans="1:18">
      <c r="A51" s="4"/>
      <c r="B51" s="4"/>
      <c r="C51" s="6"/>
      <c r="D51" s="6"/>
      <c r="E51" s="6"/>
      <c r="F51" s="6"/>
      <c r="G51" s="6"/>
      <c r="H51" s="6"/>
      <c r="I51" s="6"/>
      <c r="J51" s="6"/>
      <c r="K51" s="6"/>
      <c r="L51" s="6"/>
      <c r="M51" s="6"/>
      <c r="N51" s="6"/>
      <c r="O51" s="6"/>
      <c r="P51" s="6"/>
      <c r="Q51" s="4"/>
      <c r="R51" s="4"/>
    </row>
    <row r="52" spans="1:18">
      <c r="A52" s="4"/>
      <c r="B52" s="4"/>
      <c r="C52" s="6"/>
      <c r="D52" s="6"/>
      <c r="E52" s="6"/>
      <c r="F52" s="6"/>
      <c r="G52" s="6"/>
      <c r="H52" s="6"/>
      <c r="I52" s="6"/>
      <c r="J52" s="6"/>
      <c r="K52" s="6"/>
      <c r="L52" s="6"/>
      <c r="M52" s="6"/>
      <c r="N52" s="6"/>
      <c r="O52" s="6"/>
      <c r="P52" s="6"/>
      <c r="Q52" s="4"/>
      <c r="R52" s="4"/>
    </row>
    <row r="53" spans="1:18">
      <c r="A53" s="4"/>
      <c r="B53" s="4"/>
      <c r="C53" s="6"/>
      <c r="D53" s="6"/>
      <c r="E53" s="6"/>
      <c r="F53" s="6"/>
      <c r="G53" s="6"/>
      <c r="H53" s="6"/>
      <c r="I53" s="6"/>
      <c r="J53" s="6"/>
      <c r="K53" s="6"/>
      <c r="L53" s="6"/>
      <c r="M53" s="6"/>
      <c r="N53" s="6"/>
      <c r="O53" s="6"/>
      <c r="P53" s="6"/>
      <c r="Q53" s="4"/>
      <c r="R53" s="4"/>
    </row>
    <row r="54" spans="1:18">
      <c r="A54" s="4"/>
      <c r="B54" s="4"/>
      <c r="C54" s="6"/>
      <c r="D54" s="6"/>
      <c r="E54" s="6"/>
      <c r="F54" s="6"/>
      <c r="G54" s="6"/>
      <c r="H54" s="6"/>
      <c r="I54" s="6"/>
      <c r="J54" s="6"/>
      <c r="K54" s="6"/>
      <c r="L54" s="6"/>
      <c r="M54" s="6"/>
      <c r="N54" s="6"/>
      <c r="O54" s="6"/>
      <c r="P54" s="6"/>
      <c r="Q54" s="4"/>
      <c r="R54" s="4"/>
    </row>
    <row r="55" spans="1:18">
      <c r="A55" s="4"/>
      <c r="B55" s="4"/>
      <c r="C55" s="6"/>
      <c r="D55" s="6"/>
      <c r="E55" s="6"/>
      <c r="F55" s="6"/>
      <c r="G55" s="6"/>
      <c r="H55" s="6"/>
      <c r="I55" s="6"/>
      <c r="J55" s="6"/>
      <c r="K55" s="6"/>
      <c r="L55" s="6"/>
      <c r="M55" s="6"/>
      <c r="N55" s="6"/>
      <c r="O55" s="6"/>
      <c r="P55" s="6"/>
      <c r="Q55" s="4"/>
      <c r="R55" s="4"/>
    </row>
    <row r="56" spans="1:18">
      <c r="A56" s="4"/>
      <c r="B56" s="4"/>
      <c r="C56" s="6"/>
      <c r="D56" s="6"/>
      <c r="E56" s="6"/>
      <c r="F56" s="6"/>
      <c r="G56" s="6"/>
      <c r="H56" s="6"/>
      <c r="I56" s="6"/>
      <c r="J56" s="6"/>
      <c r="K56" s="6"/>
      <c r="L56" s="6"/>
      <c r="M56" s="6"/>
      <c r="N56" s="6"/>
      <c r="O56" s="6"/>
      <c r="P56" s="6"/>
      <c r="Q56" s="4"/>
      <c r="R56" s="4"/>
    </row>
    <row r="57" spans="1:18">
      <c r="A57" s="4"/>
      <c r="B57" s="4"/>
      <c r="C57" s="6"/>
      <c r="D57" s="6"/>
      <c r="E57" s="6"/>
      <c r="F57" s="6"/>
      <c r="G57" s="6"/>
      <c r="H57" s="6"/>
      <c r="I57" s="6"/>
      <c r="J57" s="6"/>
      <c r="K57" s="6"/>
      <c r="L57" s="6"/>
      <c r="M57" s="6"/>
      <c r="N57" s="6"/>
      <c r="O57" s="6"/>
      <c r="P57" s="6"/>
      <c r="Q57" s="4"/>
      <c r="R57" s="4"/>
    </row>
    <row r="58" spans="1:18">
      <c r="A58" s="4"/>
      <c r="B58" s="4"/>
      <c r="C58" s="6"/>
      <c r="D58" s="6"/>
      <c r="E58" s="6"/>
      <c r="F58" s="6"/>
      <c r="G58" s="6"/>
      <c r="H58" s="6"/>
      <c r="I58" s="6"/>
      <c r="J58" s="6"/>
      <c r="K58" s="6"/>
      <c r="L58" s="6"/>
      <c r="M58" s="6"/>
      <c r="N58" s="6"/>
      <c r="O58" s="6"/>
      <c r="P58" s="6"/>
      <c r="Q58" s="4"/>
      <c r="R58" s="4"/>
    </row>
    <row r="59" spans="1:18">
      <c r="A59" s="4"/>
      <c r="B59" s="4"/>
      <c r="C59" s="6"/>
      <c r="D59" s="6"/>
      <c r="E59" s="6"/>
      <c r="F59" s="6"/>
      <c r="G59" s="6"/>
      <c r="H59" s="6"/>
      <c r="I59" s="6"/>
      <c r="J59" s="6"/>
      <c r="K59" s="6"/>
      <c r="L59" s="6"/>
      <c r="M59" s="6"/>
      <c r="N59" s="6"/>
      <c r="O59" s="6"/>
      <c r="P59" s="6"/>
      <c r="Q59" s="4"/>
      <c r="R59" s="4"/>
    </row>
    <row r="60" spans="1:18">
      <c r="A60" s="4"/>
      <c r="B60" s="4"/>
      <c r="C60" s="6"/>
      <c r="D60" s="6"/>
      <c r="E60" s="6"/>
      <c r="F60" s="6"/>
      <c r="G60" s="6"/>
      <c r="H60" s="6"/>
      <c r="I60" s="6"/>
      <c r="J60" s="6"/>
      <c r="K60" s="6"/>
      <c r="L60" s="6"/>
      <c r="M60" s="6"/>
      <c r="N60" s="6"/>
      <c r="O60" s="6"/>
      <c r="P60" s="6"/>
      <c r="Q60" s="4"/>
      <c r="R60" s="4"/>
    </row>
    <row r="61" spans="1:18">
      <c r="A61" s="4"/>
      <c r="B61" s="4"/>
      <c r="C61" s="6"/>
      <c r="D61" s="6"/>
      <c r="E61" s="6"/>
      <c r="F61" s="6"/>
      <c r="G61" s="6"/>
      <c r="H61" s="6"/>
      <c r="I61" s="6"/>
      <c r="J61" s="6"/>
      <c r="K61" s="6"/>
      <c r="L61" s="6"/>
      <c r="M61" s="6"/>
      <c r="N61" s="6"/>
      <c r="O61" s="6"/>
      <c r="P61" s="6"/>
      <c r="Q61" s="4"/>
      <c r="R61" s="4"/>
    </row>
    <row r="62" spans="1:18">
      <c r="A62" s="4"/>
      <c r="B62" s="4"/>
      <c r="C62" s="6"/>
      <c r="D62" s="6"/>
      <c r="E62" s="6"/>
      <c r="F62" s="6"/>
      <c r="G62" s="6"/>
      <c r="H62" s="6"/>
      <c r="I62" s="6"/>
      <c r="J62" s="6"/>
      <c r="K62" s="6"/>
      <c r="L62" s="6"/>
      <c r="M62" s="6"/>
      <c r="N62" s="6"/>
      <c r="O62" s="6"/>
      <c r="P62" s="6"/>
      <c r="Q62" s="4"/>
      <c r="R62" s="4"/>
    </row>
    <row r="63" spans="1:18">
      <c r="A63" s="4"/>
      <c r="B63" s="4"/>
      <c r="C63" s="6"/>
      <c r="D63" s="6"/>
      <c r="E63" s="6"/>
      <c r="F63" s="6"/>
      <c r="G63" s="6"/>
      <c r="H63" s="6"/>
      <c r="I63" s="6"/>
      <c r="J63" s="6"/>
      <c r="K63" s="6"/>
      <c r="L63" s="6"/>
      <c r="M63" s="6"/>
      <c r="N63" s="6"/>
      <c r="O63" s="6"/>
      <c r="P63" s="6"/>
      <c r="Q63" s="4"/>
      <c r="R63" s="4"/>
    </row>
    <row r="64" spans="1:18">
      <c r="A64" s="4"/>
      <c r="B64" s="4"/>
      <c r="C64" s="6"/>
      <c r="D64" s="6"/>
      <c r="E64" s="6"/>
      <c r="F64" s="6"/>
      <c r="G64" s="6"/>
      <c r="H64" s="6"/>
      <c r="I64" s="6"/>
      <c r="J64" s="6"/>
      <c r="K64" s="6"/>
      <c r="L64" s="6"/>
      <c r="M64" s="6"/>
      <c r="N64" s="6"/>
      <c r="O64" s="6"/>
      <c r="P64" s="6"/>
      <c r="Q64" s="4"/>
      <c r="R64" s="4"/>
    </row>
    <row r="65" spans="1:18">
      <c r="A65" s="4"/>
      <c r="B65" s="4"/>
      <c r="C65" s="6"/>
      <c r="D65" s="6"/>
      <c r="E65" s="6"/>
      <c r="F65" s="6"/>
      <c r="G65" s="6"/>
      <c r="H65" s="6"/>
      <c r="I65" s="6"/>
      <c r="J65" s="6"/>
      <c r="K65" s="6"/>
      <c r="L65" s="6"/>
      <c r="M65" s="6"/>
      <c r="N65" s="6"/>
      <c r="O65" s="6"/>
      <c r="P65" s="6"/>
      <c r="Q65" s="4"/>
      <c r="R65" s="4"/>
    </row>
    <row r="66" spans="1:18">
      <c r="A66" s="4"/>
      <c r="B66" s="4"/>
      <c r="C66" s="6"/>
      <c r="D66" s="6"/>
      <c r="E66" s="6"/>
      <c r="F66" s="6"/>
      <c r="G66" s="6"/>
      <c r="H66" s="6"/>
      <c r="I66" s="6"/>
      <c r="J66" s="6"/>
      <c r="K66" s="6"/>
      <c r="L66" s="6"/>
      <c r="M66" s="6"/>
      <c r="N66" s="6"/>
      <c r="O66" s="6"/>
      <c r="P66" s="6"/>
      <c r="Q66" s="4"/>
      <c r="R66" s="4"/>
    </row>
    <row r="67" spans="1:18">
      <c r="A67" s="4"/>
      <c r="B67" s="4"/>
      <c r="C67" s="6"/>
      <c r="D67" s="6"/>
      <c r="E67" s="6"/>
      <c r="F67" s="6"/>
      <c r="G67" s="6"/>
      <c r="H67" s="6"/>
      <c r="I67" s="6"/>
      <c r="J67" s="6"/>
      <c r="K67" s="6"/>
      <c r="L67" s="6"/>
      <c r="M67" s="6"/>
      <c r="N67" s="6"/>
      <c r="O67" s="6"/>
      <c r="P67" s="6"/>
      <c r="Q67" s="4"/>
      <c r="R67" s="4"/>
    </row>
    <row r="68" spans="1:18">
      <c r="A68" s="4"/>
      <c r="B68" s="4"/>
      <c r="C68" s="6"/>
      <c r="D68" s="6"/>
      <c r="E68" s="6"/>
      <c r="F68" s="6"/>
      <c r="G68" s="6"/>
      <c r="H68" s="6"/>
      <c r="I68" s="6"/>
      <c r="J68" s="6"/>
      <c r="K68" s="6"/>
      <c r="L68" s="6"/>
      <c r="M68" s="6"/>
      <c r="N68" s="6"/>
      <c r="O68" s="6"/>
      <c r="P68" s="6"/>
      <c r="Q68" s="4"/>
      <c r="R68" s="4"/>
    </row>
    <row r="69" spans="1:18">
      <c r="A69" s="4"/>
      <c r="B69" s="4"/>
      <c r="C69" s="6"/>
      <c r="D69" s="6" t="s">
        <v>27</v>
      </c>
      <c r="E69" s="6"/>
      <c r="F69" s="6"/>
      <c r="G69" s="6"/>
      <c r="H69" s="6"/>
      <c r="I69" s="6"/>
      <c r="J69" s="6"/>
      <c r="K69" s="6"/>
      <c r="L69" s="6"/>
      <c r="M69" s="6"/>
      <c r="N69" s="6"/>
      <c r="O69" s="6"/>
      <c r="P69" s="6"/>
      <c r="Q69" s="4"/>
      <c r="R69" s="4"/>
    </row>
    <row r="70" spans="1:18">
      <c r="A70" s="4"/>
      <c r="B70" s="4"/>
      <c r="C70" s="6"/>
      <c r="D70" s="6"/>
      <c r="E70" s="6"/>
      <c r="F70" s="6"/>
      <c r="G70" s="6"/>
      <c r="H70" s="6"/>
      <c r="I70" s="6"/>
      <c r="J70" s="6"/>
      <c r="K70" s="6"/>
      <c r="L70" s="6"/>
      <c r="M70" s="6"/>
      <c r="N70" s="6"/>
      <c r="O70" s="6"/>
      <c r="P70" s="6"/>
      <c r="Q70" s="4"/>
      <c r="R70" s="4"/>
    </row>
    <row r="71" spans="1:18">
      <c r="A71" s="4"/>
      <c r="B71" s="4"/>
      <c r="C71" s="6"/>
      <c r="D71" s="6"/>
      <c r="E71" s="6"/>
      <c r="F71" s="6"/>
      <c r="G71" s="6"/>
      <c r="H71" s="6"/>
      <c r="I71" s="6"/>
      <c r="J71" s="6"/>
      <c r="K71" s="6"/>
      <c r="L71" s="6"/>
      <c r="M71" s="6"/>
      <c r="N71" s="6"/>
      <c r="O71" s="6"/>
      <c r="P71" s="6"/>
      <c r="Q71" s="4"/>
      <c r="R71" s="4"/>
    </row>
    <row r="72" spans="1:18">
      <c r="A72" s="4"/>
      <c r="B72" s="4"/>
      <c r="C72" s="6"/>
      <c r="D72" s="6"/>
      <c r="E72" s="6"/>
      <c r="F72" s="6"/>
      <c r="G72" s="6"/>
      <c r="H72" s="6"/>
      <c r="I72" s="6"/>
      <c r="J72" s="6"/>
      <c r="K72" s="6"/>
      <c r="L72" s="6"/>
      <c r="M72" s="6"/>
      <c r="N72" s="6"/>
      <c r="O72" s="6"/>
      <c r="P72" s="6"/>
      <c r="Q72" s="4"/>
      <c r="R72" s="4"/>
    </row>
    <row r="73" spans="1:18">
      <c r="A73" s="4"/>
      <c r="B73" s="4"/>
      <c r="C73" s="4"/>
      <c r="D73" s="4"/>
      <c r="E73" s="4"/>
      <c r="F73" s="4"/>
      <c r="G73" s="4"/>
      <c r="H73" s="4"/>
      <c r="I73" s="4"/>
      <c r="J73" s="4"/>
      <c r="K73" s="4"/>
      <c r="L73" s="4"/>
      <c r="M73" s="4"/>
      <c r="N73" s="4"/>
      <c r="O73" s="4"/>
      <c r="P73" s="4"/>
      <c r="Q73" s="4"/>
      <c r="R73" s="4"/>
    </row>
    <row r="74" spans="1:18">
      <c r="A74" s="4"/>
      <c r="B74" s="4"/>
      <c r="C74" s="4"/>
      <c r="D74" s="4"/>
      <c r="E74" s="4"/>
      <c r="F74" s="4"/>
      <c r="G74" s="4"/>
      <c r="H74" s="4"/>
      <c r="I74" s="4"/>
      <c r="J74" s="4"/>
      <c r="K74" s="4"/>
      <c r="L74" s="4"/>
      <c r="M74" s="4"/>
      <c r="N74" s="4"/>
      <c r="O74" s="4"/>
      <c r="P74" s="4"/>
      <c r="Q74" s="4"/>
      <c r="R74" s="4"/>
    </row>
    <row r="75" spans="1:18">
      <c r="A75" s="4"/>
      <c r="B75" s="4"/>
      <c r="C75" s="4"/>
      <c r="D75" s="4"/>
      <c r="E75" s="4"/>
      <c r="F75" s="4"/>
      <c r="G75" s="4"/>
      <c r="H75" s="4"/>
      <c r="I75" s="4"/>
      <c r="J75" s="4"/>
      <c r="K75" s="4"/>
      <c r="L75" s="4"/>
      <c r="M75" s="4"/>
      <c r="N75" s="4"/>
      <c r="O75" s="4"/>
      <c r="P75" s="4"/>
      <c r="Q75" s="4"/>
      <c r="R75" s="4"/>
    </row>
    <row r="76" spans="1:18">
      <c r="A76" s="4"/>
      <c r="B76" s="4"/>
      <c r="C76" s="4"/>
      <c r="D76" s="4"/>
      <c r="E76" s="4"/>
      <c r="F76" s="4"/>
      <c r="G76" s="4"/>
      <c r="H76" s="4"/>
      <c r="I76" s="4"/>
      <c r="J76" s="4"/>
      <c r="K76" s="4"/>
      <c r="L76" s="4"/>
      <c r="M76" s="4"/>
      <c r="N76" s="4"/>
      <c r="O76" s="4"/>
      <c r="P76" s="4"/>
      <c r="Q76" s="4"/>
      <c r="R76" s="4"/>
    </row>
    <row r="77" spans="1:18">
      <c r="A77" s="4"/>
      <c r="B77" s="4"/>
      <c r="C77" s="4"/>
      <c r="D77" s="4" t="s">
        <v>75</v>
      </c>
      <c r="E77" s="4"/>
      <c r="F77" s="4"/>
      <c r="G77" s="4"/>
      <c r="H77" s="4"/>
      <c r="I77" s="4"/>
      <c r="J77" s="4"/>
      <c r="K77" s="4"/>
      <c r="L77" s="4"/>
      <c r="M77" s="4"/>
      <c r="N77" s="4"/>
      <c r="O77" s="4"/>
      <c r="P77" s="4"/>
      <c r="Q77" s="4"/>
      <c r="R77" s="4"/>
    </row>
    <row r="78" spans="1:18">
      <c r="A78" s="4"/>
      <c r="B78" s="4"/>
      <c r="C78" s="4"/>
      <c r="D78" s="4" t="s">
        <v>76</v>
      </c>
      <c r="E78" s="4"/>
      <c r="F78" s="4"/>
      <c r="G78" s="4"/>
      <c r="H78" s="4"/>
      <c r="I78" s="4"/>
      <c r="J78" s="4"/>
      <c r="K78" s="4"/>
      <c r="L78" s="4"/>
      <c r="M78" s="4"/>
      <c r="N78" s="4"/>
      <c r="O78" s="4"/>
      <c r="P78" s="4"/>
      <c r="Q78" s="4"/>
      <c r="R78" s="4"/>
    </row>
    <row r="79" spans="1:18">
      <c r="A79" s="4"/>
      <c r="B79" s="4"/>
      <c r="C79" s="4"/>
      <c r="D79" s="4" t="s">
        <v>77</v>
      </c>
      <c r="E79" s="4"/>
      <c r="F79" s="4"/>
      <c r="G79" s="4"/>
      <c r="H79" s="4"/>
      <c r="I79" s="4"/>
      <c r="J79" s="4"/>
      <c r="K79" s="4"/>
      <c r="L79" s="4"/>
      <c r="M79" s="4"/>
      <c r="N79" s="4"/>
      <c r="O79" s="4"/>
      <c r="P79" s="4"/>
      <c r="Q79" s="4"/>
      <c r="R79" s="4"/>
    </row>
    <row r="80" spans="1:18" ht="16" customHeight="1">
      <c r="A80" s="4"/>
      <c r="B80" s="4"/>
      <c r="C80" s="4"/>
      <c r="D80" s="25" t="s">
        <v>78</v>
      </c>
      <c r="E80" s="25"/>
      <c r="F80" s="25"/>
      <c r="G80" s="25"/>
      <c r="H80" s="25"/>
      <c r="I80" s="25"/>
      <c r="J80" s="25"/>
      <c r="K80" s="25"/>
      <c r="L80" s="25"/>
      <c r="M80" s="25"/>
      <c r="N80" s="25"/>
      <c r="O80" s="4"/>
      <c r="P80" s="4"/>
      <c r="Q80" s="4"/>
      <c r="R80" s="4"/>
    </row>
    <row r="81" spans="1:18">
      <c r="A81" s="4"/>
      <c r="B81" s="4"/>
      <c r="C81" s="4"/>
      <c r="D81" s="25"/>
      <c r="E81" s="25"/>
      <c r="F81" s="25"/>
      <c r="G81" s="25"/>
      <c r="H81" s="25"/>
      <c r="I81" s="25"/>
      <c r="J81" s="25"/>
      <c r="K81" s="25"/>
      <c r="L81" s="25"/>
      <c r="M81" s="25"/>
      <c r="N81" s="25"/>
      <c r="O81" s="4"/>
      <c r="P81" s="4"/>
      <c r="Q81" s="4"/>
      <c r="R81" s="4"/>
    </row>
    <row r="82" spans="1:18">
      <c r="A82" s="4"/>
      <c r="B82" s="4"/>
      <c r="C82" s="4"/>
      <c r="D82" s="4" t="s">
        <v>79</v>
      </c>
      <c r="E82" s="4"/>
      <c r="F82" s="4"/>
      <c r="G82" s="4"/>
      <c r="H82" s="4"/>
      <c r="I82" s="4"/>
      <c r="J82" s="4"/>
      <c r="K82" s="4"/>
      <c r="L82" s="4"/>
      <c r="M82" s="4"/>
      <c r="N82" s="4"/>
      <c r="O82" s="4"/>
      <c r="P82" s="4"/>
      <c r="Q82" s="4"/>
      <c r="R82" s="4"/>
    </row>
    <row r="83" spans="1:18">
      <c r="A83" s="4"/>
      <c r="B83" s="4"/>
      <c r="C83" s="4"/>
      <c r="D83" s="4" t="s">
        <v>80</v>
      </c>
      <c r="E83" s="4"/>
      <c r="F83" s="4"/>
      <c r="G83" s="4"/>
      <c r="H83" s="4"/>
      <c r="I83" s="4"/>
      <c r="J83" s="4"/>
      <c r="K83" s="4"/>
      <c r="L83" s="4"/>
      <c r="M83" s="4"/>
      <c r="N83" s="4"/>
      <c r="O83" s="4"/>
      <c r="P83" s="4"/>
      <c r="Q83" s="4"/>
      <c r="R83" s="4"/>
    </row>
    <row r="84" spans="1:18">
      <c r="A84" s="4"/>
      <c r="B84" s="4"/>
      <c r="C84" s="4"/>
      <c r="D84" s="4" t="s">
        <v>81</v>
      </c>
      <c r="E84" s="4"/>
      <c r="F84" s="4"/>
      <c r="G84" s="4"/>
      <c r="H84" s="4"/>
      <c r="I84" s="4"/>
      <c r="J84" s="4"/>
      <c r="K84" s="4"/>
      <c r="L84" s="4"/>
      <c r="M84" s="4"/>
      <c r="N84" s="4"/>
      <c r="O84" s="4"/>
      <c r="P84" s="4"/>
      <c r="Q84" s="4"/>
      <c r="R84" s="4"/>
    </row>
    <row r="85" spans="1:18">
      <c r="A85" s="4"/>
      <c r="B85" s="4"/>
      <c r="C85" s="4"/>
      <c r="D85" s="4" t="s">
        <v>82</v>
      </c>
      <c r="E85" s="4"/>
      <c r="F85" s="4"/>
      <c r="G85" s="4"/>
      <c r="H85" s="4"/>
      <c r="I85" s="4"/>
      <c r="J85" s="4"/>
      <c r="K85" s="4"/>
      <c r="L85" s="4"/>
      <c r="M85" s="4"/>
      <c r="N85" s="4"/>
      <c r="O85" s="4"/>
      <c r="P85" s="4"/>
      <c r="Q85" s="4"/>
      <c r="R85" s="4"/>
    </row>
    <row r="86" spans="1:18">
      <c r="A86" s="4"/>
      <c r="B86" s="4"/>
      <c r="C86" s="4"/>
      <c r="D86" s="4"/>
      <c r="E86" s="4"/>
      <c r="F86" s="4"/>
      <c r="G86" s="4"/>
      <c r="H86" s="4"/>
      <c r="I86" s="4"/>
      <c r="J86" s="4"/>
      <c r="K86" s="4"/>
      <c r="L86" s="4"/>
      <c r="M86" s="4"/>
      <c r="N86" s="4"/>
      <c r="O86" s="4"/>
      <c r="P86" s="4"/>
      <c r="Q86" s="4"/>
      <c r="R86" s="4"/>
    </row>
    <row r="87" spans="1:18">
      <c r="A87" s="4"/>
      <c r="B87" s="4"/>
      <c r="C87" s="4"/>
      <c r="D87" s="4"/>
      <c r="E87" s="4"/>
      <c r="F87" s="4"/>
      <c r="G87" s="4"/>
      <c r="H87" s="4"/>
      <c r="I87" s="4"/>
      <c r="J87" s="4"/>
      <c r="K87" s="4"/>
      <c r="L87" s="4"/>
      <c r="M87" s="4"/>
      <c r="N87" s="4"/>
      <c r="O87" s="4"/>
      <c r="P87" s="4"/>
      <c r="Q87" s="4"/>
      <c r="R87" s="4"/>
    </row>
    <row r="88" spans="1:18">
      <c r="A88" s="4"/>
      <c r="B88" s="4"/>
      <c r="C88" s="4"/>
      <c r="D88" s="4"/>
      <c r="E88" s="4"/>
      <c r="F88" s="4"/>
      <c r="G88" s="4"/>
      <c r="H88" s="4"/>
      <c r="I88" s="4"/>
      <c r="J88" s="4"/>
      <c r="K88" s="4"/>
      <c r="L88" s="4"/>
      <c r="M88" s="4"/>
      <c r="N88" s="4"/>
      <c r="O88" s="4"/>
      <c r="P88" s="4"/>
      <c r="Q88" s="4"/>
      <c r="R88" s="4"/>
    </row>
    <row r="89" spans="1:18">
      <c r="A89" s="4"/>
      <c r="B89" s="4"/>
      <c r="C89" s="4"/>
      <c r="D89" s="4"/>
      <c r="E89" s="4"/>
      <c r="F89" s="4"/>
      <c r="G89" s="4"/>
      <c r="H89" s="4"/>
      <c r="I89" s="4"/>
      <c r="J89" s="4"/>
      <c r="K89" s="4"/>
      <c r="L89" s="4"/>
      <c r="M89" s="4"/>
      <c r="N89" s="4"/>
      <c r="O89" s="4"/>
      <c r="P89" s="4"/>
      <c r="Q89" s="4"/>
      <c r="R89" s="4"/>
    </row>
    <row r="90" spans="1:18">
      <c r="A90" s="4"/>
      <c r="B90" s="4"/>
      <c r="C90" s="4"/>
      <c r="D90" s="4"/>
      <c r="E90" s="4"/>
      <c r="F90" s="4"/>
      <c r="G90" s="4"/>
      <c r="H90" s="4"/>
      <c r="I90" s="4"/>
      <c r="J90" s="4"/>
      <c r="K90" s="4"/>
      <c r="L90" s="4"/>
      <c r="M90" s="4"/>
      <c r="N90" s="4"/>
      <c r="O90" s="4"/>
      <c r="P90" s="4"/>
      <c r="Q90" s="4"/>
      <c r="R90" s="4"/>
    </row>
    <row r="91" spans="1:18" s="3" customFormat="1">
      <c r="A91" s="10"/>
      <c r="B91" s="10"/>
      <c r="C91" s="10"/>
      <c r="D91" s="11"/>
      <c r="E91" s="10"/>
      <c r="F91" s="10"/>
      <c r="G91" s="10"/>
      <c r="H91" s="10"/>
      <c r="I91" s="10"/>
      <c r="J91" s="10"/>
      <c r="K91" s="10"/>
      <c r="L91" s="10"/>
      <c r="M91" s="10"/>
      <c r="N91" s="10"/>
      <c r="O91" s="10"/>
      <c r="P91" s="10"/>
      <c r="Q91" s="10"/>
      <c r="R91" s="10"/>
    </row>
    <row r="92" spans="1:18" s="3" customFormat="1">
      <c r="A92" s="10"/>
      <c r="B92" s="10"/>
      <c r="C92" s="10"/>
      <c r="D92" s="10"/>
      <c r="E92" s="10"/>
      <c r="F92" s="10"/>
      <c r="G92" s="10"/>
      <c r="H92" s="10"/>
      <c r="I92" s="10"/>
      <c r="J92" s="10"/>
      <c r="K92" s="10"/>
      <c r="L92" s="10"/>
      <c r="M92" s="10"/>
      <c r="N92" s="10"/>
      <c r="O92" s="10"/>
      <c r="P92" s="10"/>
      <c r="Q92" s="10"/>
      <c r="R92" s="10"/>
    </row>
    <row r="93" spans="1:18" s="3" customFormat="1">
      <c r="A93" s="10"/>
      <c r="B93" s="10"/>
      <c r="C93" s="10"/>
      <c r="D93" s="10"/>
      <c r="E93" s="10"/>
      <c r="F93" s="10"/>
      <c r="G93" s="10"/>
      <c r="H93" s="10"/>
      <c r="I93" s="10"/>
      <c r="J93" s="10"/>
      <c r="K93" s="10"/>
      <c r="L93" s="10"/>
      <c r="M93" s="10"/>
      <c r="N93" s="10"/>
      <c r="O93" s="10"/>
      <c r="P93" s="10"/>
      <c r="Q93" s="10"/>
      <c r="R93" s="10"/>
    </row>
    <row r="94" spans="1:18" s="3" customFormat="1">
      <c r="A94" s="10"/>
      <c r="B94" s="10"/>
      <c r="C94" s="10"/>
      <c r="D94" s="10"/>
      <c r="E94" s="10"/>
      <c r="F94" s="10"/>
      <c r="G94" s="10"/>
      <c r="H94" s="10"/>
      <c r="I94" s="10"/>
      <c r="J94" s="10"/>
      <c r="K94" s="10"/>
      <c r="L94" s="10"/>
      <c r="M94" s="10"/>
      <c r="N94" s="10"/>
      <c r="O94" s="10"/>
      <c r="P94" s="10"/>
      <c r="Q94" s="10"/>
      <c r="R94" s="10"/>
    </row>
    <row r="95" spans="1:18" s="3" customFormat="1">
      <c r="A95" s="10"/>
      <c r="B95" s="10"/>
      <c r="C95" s="10"/>
      <c r="D95" s="10"/>
      <c r="E95" s="10"/>
      <c r="F95" s="10"/>
      <c r="G95" s="10"/>
      <c r="H95" s="10"/>
      <c r="I95" s="10"/>
      <c r="J95" s="10"/>
      <c r="K95" s="10"/>
      <c r="L95" s="10"/>
      <c r="M95" s="10"/>
      <c r="N95" s="10"/>
      <c r="O95" s="10"/>
      <c r="P95" s="10"/>
      <c r="Q95" s="10"/>
      <c r="R95" s="10"/>
    </row>
    <row r="96" spans="1:18" s="3" customFormat="1">
      <c r="A96" s="10"/>
      <c r="B96" s="10"/>
      <c r="C96" s="10"/>
      <c r="D96" s="10"/>
      <c r="E96" s="10"/>
      <c r="F96" s="10"/>
      <c r="G96" s="10"/>
      <c r="H96" s="10"/>
      <c r="I96" s="10"/>
      <c r="J96" s="10"/>
      <c r="K96" s="10"/>
      <c r="L96" s="10"/>
      <c r="M96" s="10"/>
      <c r="N96" s="10"/>
      <c r="O96" s="10"/>
      <c r="P96" s="10"/>
      <c r="Q96" s="10"/>
      <c r="R96" s="10"/>
    </row>
    <row r="97" spans="1:18" s="3" customFormat="1">
      <c r="A97" s="10"/>
      <c r="B97" s="10"/>
      <c r="C97" s="10"/>
      <c r="D97" s="10"/>
      <c r="E97" s="10"/>
      <c r="F97" s="10"/>
      <c r="G97" s="10"/>
      <c r="H97" s="10"/>
      <c r="I97" s="10"/>
      <c r="J97" s="10"/>
      <c r="K97" s="10"/>
      <c r="L97" s="10"/>
      <c r="M97" s="10"/>
      <c r="N97" s="10"/>
      <c r="O97" s="10"/>
      <c r="P97" s="10"/>
      <c r="Q97" s="10"/>
      <c r="R97" s="10"/>
    </row>
    <row r="98" spans="1:18" s="3" customFormat="1">
      <c r="A98" s="10"/>
      <c r="B98" s="10"/>
      <c r="C98" s="10"/>
      <c r="D98" s="10"/>
      <c r="E98" s="10"/>
      <c r="F98" s="10"/>
      <c r="G98" s="10"/>
      <c r="H98" s="10"/>
      <c r="I98" s="10"/>
      <c r="J98" s="10"/>
      <c r="K98" s="10"/>
      <c r="L98" s="10"/>
      <c r="M98" s="10"/>
      <c r="N98" s="10"/>
      <c r="O98" s="10"/>
      <c r="P98" s="10"/>
      <c r="Q98" s="10"/>
      <c r="R98" s="10"/>
    </row>
    <row r="99" spans="1:18">
      <c r="A99" s="1"/>
      <c r="B99" s="1"/>
      <c r="C99" s="1"/>
      <c r="D99" s="1"/>
    </row>
    <row r="100" spans="1:18">
      <c r="A100" s="1"/>
      <c r="B100" s="1"/>
      <c r="C100" s="1"/>
      <c r="D100" s="1"/>
    </row>
    <row r="101" spans="1:18">
      <c r="A101" s="1"/>
      <c r="B101" s="1"/>
      <c r="C101" s="1"/>
      <c r="D101" s="1"/>
    </row>
    <row r="102" spans="1:18">
      <c r="A102" s="1"/>
      <c r="B102" s="1"/>
      <c r="C102" s="1"/>
      <c r="D102" s="1"/>
    </row>
    <row r="103" spans="1:18">
      <c r="A103" s="1"/>
      <c r="B103" s="1"/>
      <c r="C103" s="1"/>
      <c r="D103" s="1"/>
      <c r="E103" s="1"/>
    </row>
    <row r="104" spans="1:18">
      <c r="A104" s="1"/>
      <c r="B104" s="1"/>
      <c r="C104" s="1"/>
      <c r="D104" s="1"/>
      <c r="E104" s="1"/>
    </row>
    <row r="105" spans="1:18">
      <c r="A105" s="1"/>
      <c r="B105" s="1"/>
      <c r="C105" s="1"/>
      <c r="D105" s="1"/>
      <c r="E105" s="1"/>
    </row>
  </sheetData>
  <sheetProtection algorithmName="SHA-512" hashValue="GfUELTEszZJLTmb6aQw4Hf5zNRWlCZxx4FXW4K25318k/wNsOZR4AHiaSffVKma8hy2DKXFjDS/jPXRAB6mQXg==" saltValue="aJY8GnXzhwNBu4GJkBb6Dw==" spinCount="100000" sheet="1" objects="1" scenarios="1"/>
  <mergeCells count="2">
    <mergeCell ref="D5:O5"/>
    <mergeCell ref="D80:N81"/>
  </mergeCells>
  <pageMargins left="0.7" right="0.7" top="0.75" bottom="0.75" header="0.3" footer="0.3"/>
  <pageSetup paperSize="9" scale="34" orientation="portrait" horizontalDpi="0" verticalDpi="0"/>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47F85525-4AF9-4449-87FA-C835F127D627}">
          <x14:formula1>
            <xm:f>'Sheet 1'!$E$5:$AZ$5</xm:f>
          </x14:formula1>
          <xm:sqref>E12</xm:sqref>
        </x14:dataValidation>
        <x14:dataValidation type="list" allowBlank="1" showInputMessage="1" showErrorMessage="1" xr:uid="{0D67877A-1AF7-BC40-838D-2E61CEDAA96F}">
          <x14:formula1>
            <xm:f>'Sheet 1'!$M$6:$O$6</xm:f>
          </x14:formula1>
          <xm:sqref>E15</xm:sqref>
        </x14:dataValidation>
        <x14:dataValidation type="list" allowBlank="1" showInputMessage="1" showErrorMessage="1" xr:uid="{4DA0BB3C-C2FC-A64D-AEFA-7D9DB932E828}">
          <x14:formula1>
            <xm:f>'Sheet 1'!$E$6:$H$6</xm:f>
          </x14:formula1>
          <xm:sqref>E16</xm:sqref>
        </x14:dataValidation>
        <x14:dataValidation type="list" allowBlank="1" showInputMessage="1" showErrorMessage="1" xr:uid="{19A73D45-4B96-A743-BEB1-F98E15BF85DE}">
          <x14:formula1>
            <xm:f>'Sheet 1'!$F$6:$L$6</xm:f>
          </x14:formula1>
          <xm:sqref>E17</xm:sqref>
        </x14:dataValidation>
        <x14:dataValidation type="list" allowBlank="1" showInputMessage="1" showErrorMessage="1" xr:uid="{B6A63D77-0564-A44B-8754-A92245069755}">
          <x14:formula1>
            <xm:f>'Sheet 1'!$L$8:$P$8</xm:f>
          </x14:formula1>
          <xm:sqref>E19</xm:sqref>
        </x14:dataValidation>
        <x14:dataValidation type="list" allowBlank="1" showInputMessage="1" showErrorMessage="1" xr:uid="{7D3C44B2-8976-4143-BBEC-47A9794A8899}">
          <x14:formula1>
            <xm:f>'Sheet 1'!$E$8:$J$8</xm:f>
          </x14:formula1>
          <xm:sqref>E20</xm:sqref>
        </x14:dataValidation>
        <x14:dataValidation type="list" allowBlank="1" showInputMessage="1" showErrorMessage="1" xr:uid="{EF45F460-3039-3F4B-9B2F-871270FB5C07}">
          <x14:formula1>
            <xm:f>'Sheet 1'!$E$12:$N$12</xm:f>
          </x14:formula1>
          <xm:sqref>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F79C-082F-D64E-B20B-D8F5E0116E91}">
  <dimension ref="B2:BS94"/>
  <sheetViews>
    <sheetView zoomScale="75" workbookViewId="0">
      <selection sqref="A1:XFD1048576"/>
    </sheetView>
  </sheetViews>
  <sheetFormatPr baseColWidth="10" defaultRowHeight="16"/>
  <cols>
    <col min="1" max="1" width="10.83203125" style="68"/>
    <col min="2" max="2" width="21.6640625" style="68" customWidth="1"/>
    <col min="3" max="3" width="22.33203125" style="68" customWidth="1"/>
    <col min="4" max="4" width="14.83203125" style="68" bestFit="1" customWidth="1"/>
    <col min="5" max="6" width="15" style="68" bestFit="1" customWidth="1"/>
    <col min="7" max="8" width="14.1640625" style="68" bestFit="1" customWidth="1"/>
    <col min="9" max="11" width="14.33203125" style="68" bestFit="1" customWidth="1"/>
    <col min="12" max="16" width="14.1640625" style="68" bestFit="1" customWidth="1"/>
    <col min="17" max="36" width="15.1640625" style="68" bestFit="1" customWidth="1"/>
    <col min="37" max="63" width="16.33203125" style="68" bestFit="1" customWidth="1"/>
    <col min="64" max="69" width="18.1640625" style="68" bestFit="1" customWidth="1"/>
    <col min="70" max="71" width="15.33203125" style="68" bestFit="1" customWidth="1"/>
    <col min="72" max="16384" width="10.83203125" style="68"/>
  </cols>
  <sheetData>
    <row r="2" spans="2:71">
      <c r="B2" s="68" t="s">
        <v>23</v>
      </c>
      <c r="C2" s="68" t="s">
        <v>69</v>
      </c>
    </row>
    <row r="3" spans="2:71">
      <c r="B3" s="68" t="s">
        <v>6</v>
      </c>
      <c r="C3" s="69">
        <f>'Retirement Plan'!E12</f>
        <v>46</v>
      </c>
    </row>
    <row r="4" spans="2:71">
      <c r="B4" s="68" t="s">
        <v>7</v>
      </c>
      <c r="C4" s="69">
        <f>'Retirement Plan'!E13</f>
        <v>0</v>
      </c>
      <c r="F4" s="58"/>
    </row>
    <row r="5" spans="2:71">
      <c r="B5" s="68" t="s">
        <v>0</v>
      </c>
      <c r="C5" s="69">
        <f>'Retirement Plan'!E14</f>
        <v>3000</v>
      </c>
      <c r="E5" s="73">
        <v>18</v>
      </c>
      <c r="F5" s="73">
        <v>19</v>
      </c>
      <c r="G5" s="73">
        <v>20</v>
      </c>
      <c r="H5" s="73">
        <v>21</v>
      </c>
      <c r="I5" s="73">
        <v>22</v>
      </c>
      <c r="J5" s="73">
        <v>23</v>
      </c>
      <c r="K5" s="73">
        <v>24</v>
      </c>
      <c r="L5" s="73">
        <v>25</v>
      </c>
      <c r="M5" s="73">
        <v>26</v>
      </c>
      <c r="N5" s="73">
        <v>27</v>
      </c>
      <c r="O5" s="73">
        <v>28</v>
      </c>
      <c r="P5" s="73">
        <v>29</v>
      </c>
      <c r="Q5" s="73">
        <v>30</v>
      </c>
      <c r="R5" s="73">
        <v>31</v>
      </c>
      <c r="S5" s="73">
        <v>32</v>
      </c>
      <c r="T5" s="73">
        <v>33</v>
      </c>
      <c r="U5" s="73">
        <v>34</v>
      </c>
      <c r="V5" s="73">
        <v>35</v>
      </c>
      <c r="W5" s="73">
        <v>36</v>
      </c>
      <c r="X5" s="73">
        <v>37</v>
      </c>
      <c r="Y5" s="73">
        <v>38</v>
      </c>
      <c r="Z5" s="73">
        <v>39</v>
      </c>
      <c r="AA5" s="73">
        <v>40</v>
      </c>
      <c r="AB5" s="73">
        <v>41</v>
      </c>
      <c r="AC5" s="73">
        <v>42</v>
      </c>
      <c r="AD5" s="73">
        <v>43</v>
      </c>
      <c r="AE5" s="73">
        <v>44</v>
      </c>
      <c r="AF5" s="73">
        <v>45</v>
      </c>
      <c r="AG5" s="73">
        <v>46</v>
      </c>
      <c r="AH5" s="73">
        <v>47</v>
      </c>
      <c r="AI5" s="73">
        <v>48</v>
      </c>
      <c r="AJ5" s="73">
        <v>49</v>
      </c>
      <c r="AK5" s="73">
        <v>50</v>
      </c>
      <c r="AL5" s="73">
        <v>51</v>
      </c>
      <c r="AM5" s="73">
        <v>52</v>
      </c>
      <c r="AN5" s="73">
        <v>53</v>
      </c>
      <c r="AO5" s="73">
        <v>54</v>
      </c>
      <c r="AP5" s="73">
        <v>55</v>
      </c>
      <c r="AQ5" s="73">
        <v>56</v>
      </c>
      <c r="AR5" s="73">
        <v>57</v>
      </c>
      <c r="AS5" s="73">
        <v>58</v>
      </c>
      <c r="AT5" s="73">
        <v>59</v>
      </c>
      <c r="AU5" s="73">
        <v>60</v>
      </c>
      <c r="AV5" s="73">
        <v>61</v>
      </c>
      <c r="AW5" s="73">
        <v>62</v>
      </c>
      <c r="AX5" s="73">
        <v>63</v>
      </c>
      <c r="AY5" s="73">
        <v>64</v>
      </c>
      <c r="AZ5" s="73">
        <v>65</v>
      </c>
    </row>
    <row r="6" spans="2:71">
      <c r="B6" s="68" t="s">
        <v>1</v>
      </c>
      <c r="C6" s="64">
        <f>'Retirement Plan'!E15</f>
        <v>0.05</v>
      </c>
      <c r="E6" s="56">
        <v>0.03</v>
      </c>
      <c r="F6" s="56">
        <v>0.04</v>
      </c>
      <c r="G6" s="56">
        <v>0.05</v>
      </c>
      <c r="H6" s="56">
        <v>0.06</v>
      </c>
      <c r="I6" s="56">
        <v>7.0000000000000007E-2</v>
      </c>
      <c r="J6" s="56">
        <v>0.08</v>
      </c>
      <c r="K6" s="56">
        <v>0.09</v>
      </c>
      <c r="L6" s="56">
        <v>0.1</v>
      </c>
      <c r="M6" s="56">
        <v>0</v>
      </c>
      <c r="N6" s="56">
        <v>0.05</v>
      </c>
      <c r="O6" s="56">
        <v>0.1</v>
      </c>
    </row>
    <row r="7" spans="2:71">
      <c r="B7" s="68" t="s">
        <v>2</v>
      </c>
      <c r="C7" s="64">
        <f>'Retirement Plan'!E16</f>
        <v>0.04</v>
      </c>
    </row>
    <row r="8" spans="2:71">
      <c r="B8" s="68" t="s">
        <v>3</v>
      </c>
      <c r="C8" s="64">
        <f>'Retirement Plan'!E17</f>
        <v>0.09</v>
      </c>
      <c r="E8" s="73">
        <v>15</v>
      </c>
      <c r="F8" s="73">
        <v>20</v>
      </c>
      <c r="G8" s="73">
        <v>25</v>
      </c>
      <c r="H8" s="73">
        <v>30</v>
      </c>
      <c r="I8" s="73">
        <v>35</v>
      </c>
      <c r="J8" s="73">
        <v>40</v>
      </c>
      <c r="L8" s="73">
        <v>50</v>
      </c>
      <c r="M8" s="73">
        <v>55</v>
      </c>
      <c r="N8" s="73">
        <v>60</v>
      </c>
      <c r="O8" s="73">
        <v>65</v>
      </c>
      <c r="P8" s="73">
        <v>70</v>
      </c>
    </row>
    <row r="9" spans="2:71">
      <c r="B9" s="68" t="s">
        <v>17</v>
      </c>
      <c r="C9" s="64">
        <f>'Retirement Plan'!E18</f>
        <v>7.0000000000000007E-2</v>
      </c>
    </row>
    <row r="10" spans="2:71">
      <c r="B10" s="68" t="s">
        <v>4</v>
      </c>
      <c r="C10" s="69">
        <f>'Retirement Plan'!E19</f>
        <v>65</v>
      </c>
    </row>
    <row r="11" spans="2:71">
      <c r="B11" s="68" t="s">
        <v>5</v>
      </c>
      <c r="C11" s="69">
        <f>'Retirement Plan'!E20</f>
        <v>20</v>
      </c>
    </row>
    <row r="12" spans="2:71">
      <c r="B12" s="68" t="s">
        <v>9</v>
      </c>
      <c r="C12" s="69">
        <f>'Retirement Plan'!E21</f>
        <v>25000</v>
      </c>
      <c r="E12" s="45">
        <v>10000</v>
      </c>
      <c r="F12" s="45">
        <f>E12+5000</f>
        <v>15000</v>
      </c>
      <c r="G12" s="45">
        <f t="shared" ref="G12:I12" si="0">F12+5000</f>
        <v>20000</v>
      </c>
      <c r="H12" s="45">
        <f t="shared" si="0"/>
        <v>25000</v>
      </c>
      <c r="I12" s="45">
        <f t="shared" si="0"/>
        <v>30000</v>
      </c>
      <c r="J12" s="45">
        <f>I12+10000</f>
        <v>40000</v>
      </c>
      <c r="K12" s="45">
        <f t="shared" ref="K12:L12" si="1">J12+10000</f>
        <v>50000</v>
      </c>
      <c r="L12" s="45">
        <f t="shared" si="1"/>
        <v>60000</v>
      </c>
      <c r="M12" s="45">
        <v>80000</v>
      </c>
      <c r="N12" s="45">
        <v>100000</v>
      </c>
    </row>
    <row r="13" spans="2:71">
      <c r="C13" s="69"/>
    </row>
    <row r="16" spans="2:71" s="69" customFormat="1">
      <c r="C16" s="70" t="s">
        <v>6</v>
      </c>
      <c r="D16" s="74">
        <f>C3</f>
        <v>46</v>
      </c>
      <c r="E16" s="74">
        <f>D16+1</f>
        <v>47</v>
      </c>
      <c r="F16" s="74">
        <f t="shared" ref="F16:BQ16" si="2">E16+1</f>
        <v>48</v>
      </c>
      <c r="G16" s="74">
        <f t="shared" si="2"/>
        <v>49</v>
      </c>
      <c r="H16" s="74">
        <f t="shared" si="2"/>
        <v>50</v>
      </c>
      <c r="I16" s="74">
        <f t="shared" si="2"/>
        <v>51</v>
      </c>
      <c r="J16" s="74">
        <f t="shared" si="2"/>
        <v>52</v>
      </c>
      <c r="K16" s="74">
        <f t="shared" si="2"/>
        <v>53</v>
      </c>
      <c r="L16" s="75">
        <f t="shared" si="2"/>
        <v>54</v>
      </c>
      <c r="M16" s="75">
        <f t="shared" si="2"/>
        <v>55</v>
      </c>
      <c r="N16" s="75">
        <f t="shared" si="2"/>
        <v>56</v>
      </c>
      <c r="O16" s="75">
        <f t="shared" si="2"/>
        <v>57</v>
      </c>
      <c r="P16" s="75">
        <f t="shared" si="2"/>
        <v>58</v>
      </c>
      <c r="Q16" s="75">
        <f t="shared" si="2"/>
        <v>59</v>
      </c>
      <c r="R16" s="75">
        <f t="shared" si="2"/>
        <v>60</v>
      </c>
      <c r="S16" s="75">
        <f t="shared" si="2"/>
        <v>61</v>
      </c>
      <c r="T16" s="75">
        <f t="shared" si="2"/>
        <v>62</v>
      </c>
      <c r="U16" s="75">
        <f t="shared" si="2"/>
        <v>63</v>
      </c>
      <c r="V16" s="75">
        <f t="shared" si="2"/>
        <v>64</v>
      </c>
      <c r="W16" s="75">
        <f t="shared" si="2"/>
        <v>65</v>
      </c>
      <c r="X16" s="75">
        <f t="shared" si="2"/>
        <v>66</v>
      </c>
      <c r="Y16" s="75">
        <f t="shared" si="2"/>
        <v>67</v>
      </c>
      <c r="Z16" s="75">
        <f t="shared" si="2"/>
        <v>68</v>
      </c>
      <c r="AA16" s="75">
        <f t="shared" si="2"/>
        <v>69</v>
      </c>
      <c r="AB16" s="75">
        <f t="shared" si="2"/>
        <v>70</v>
      </c>
      <c r="AC16" s="75">
        <f t="shared" si="2"/>
        <v>71</v>
      </c>
      <c r="AD16" s="75">
        <f t="shared" si="2"/>
        <v>72</v>
      </c>
      <c r="AE16" s="75">
        <f t="shared" si="2"/>
        <v>73</v>
      </c>
      <c r="AF16" s="75">
        <f t="shared" si="2"/>
        <v>74</v>
      </c>
      <c r="AG16" s="75">
        <f t="shared" si="2"/>
        <v>75</v>
      </c>
      <c r="AH16" s="75">
        <f t="shared" si="2"/>
        <v>76</v>
      </c>
      <c r="AI16" s="75">
        <f t="shared" si="2"/>
        <v>77</v>
      </c>
      <c r="AJ16" s="75">
        <f t="shared" si="2"/>
        <v>78</v>
      </c>
      <c r="AK16" s="75">
        <f t="shared" si="2"/>
        <v>79</v>
      </c>
      <c r="AL16" s="75">
        <f t="shared" si="2"/>
        <v>80</v>
      </c>
      <c r="AM16" s="75">
        <f t="shared" si="2"/>
        <v>81</v>
      </c>
      <c r="AN16" s="75">
        <f t="shared" si="2"/>
        <v>82</v>
      </c>
      <c r="AO16" s="75">
        <f t="shared" si="2"/>
        <v>83</v>
      </c>
      <c r="AP16" s="75">
        <f t="shared" si="2"/>
        <v>84</v>
      </c>
      <c r="AQ16" s="75">
        <f t="shared" si="2"/>
        <v>85</v>
      </c>
      <c r="AR16" s="75">
        <f t="shared" si="2"/>
        <v>86</v>
      </c>
      <c r="AS16" s="75">
        <f t="shared" si="2"/>
        <v>87</v>
      </c>
      <c r="AT16" s="75">
        <f t="shared" si="2"/>
        <v>88</v>
      </c>
      <c r="AU16" s="75">
        <f t="shared" si="2"/>
        <v>89</v>
      </c>
      <c r="AV16" s="75">
        <f t="shared" si="2"/>
        <v>90</v>
      </c>
      <c r="AW16" s="75">
        <f t="shared" si="2"/>
        <v>91</v>
      </c>
      <c r="AX16" s="75">
        <f t="shared" si="2"/>
        <v>92</v>
      </c>
      <c r="AY16" s="75">
        <f t="shared" si="2"/>
        <v>93</v>
      </c>
      <c r="AZ16" s="75">
        <f t="shared" si="2"/>
        <v>94</v>
      </c>
      <c r="BA16" s="75">
        <f t="shared" si="2"/>
        <v>95</v>
      </c>
      <c r="BB16" s="75">
        <f t="shared" si="2"/>
        <v>96</v>
      </c>
      <c r="BC16" s="75">
        <f t="shared" si="2"/>
        <v>97</v>
      </c>
      <c r="BD16" s="75">
        <f t="shared" si="2"/>
        <v>98</v>
      </c>
      <c r="BE16" s="75">
        <f t="shared" si="2"/>
        <v>99</v>
      </c>
      <c r="BF16" s="75">
        <f t="shared" si="2"/>
        <v>100</v>
      </c>
      <c r="BG16" s="75">
        <f t="shared" si="2"/>
        <v>101</v>
      </c>
      <c r="BH16" s="75">
        <f t="shared" si="2"/>
        <v>102</v>
      </c>
      <c r="BI16" s="75">
        <f t="shared" si="2"/>
        <v>103</v>
      </c>
      <c r="BJ16" s="75">
        <f t="shared" si="2"/>
        <v>104</v>
      </c>
      <c r="BK16" s="75">
        <f t="shared" si="2"/>
        <v>105</v>
      </c>
      <c r="BL16" s="75">
        <f t="shared" si="2"/>
        <v>106</v>
      </c>
      <c r="BM16" s="75">
        <f t="shared" si="2"/>
        <v>107</v>
      </c>
      <c r="BN16" s="75">
        <f t="shared" si="2"/>
        <v>108</v>
      </c>
      <c r="BO16" s="75">
        <f t="shared" si="2"/>
        <v>109</v>
      </c>
      <c r="BP16" s="75">
        <f t="shared" si="2"/>
        <v>110</v>
      </c>
      <c r="BQ16" s="75">
        <f t="shared" si="2"/>
        <v>111</v>
      </c>
      <c r="BR16" s="75">
        <f t="shared" ref="BR16:BS16" si="3">BQ16+1</f>
        <v>112</v>
      </c>
      <c r="BS16" s="75">
        <f t="shared" si="3"/>
        <v>113</v>
      </c>
    </row>
    <row r="17" spans="2:71" s="69" customFormat="1">
      <c r="C17" s="70" t="s">
        <v>53</v>
      </c>
      <c r="D17" s="65">
        <f>C4</f>
        <v>0</v>
      </c>
      <c r="E17" s="65">
        <f>D20</f>
        <v>37522.759068393709</v>
      </c>
      <c r="F17" s="65">
        <f t="shared" ref="F17:BQ17" si="4">E20</f>
        <v>80441.549710468913</v>
      </c>
      <c r="G17" s="65">
        <f t="shared" si="4"/>
        <v>129356.36380555833</v>
      </c>
      <c r="H17" s="65">
        <f t="shared" si="4"/>
        <v>184928.16695470622</v>
      </c>
      <c r="I17" s="65">
        <f t="shared" si="4"/>
        <v>247884.85275358579</v>
      </c>
      <c r="J17" s="65">
        <f t="shared" si="4"/>
        <v>319027.767343149</v>
      </c>
      <c r="K17" s="65">
        <f t="shared" si="4"/>
        <v>399238.85832028696</v>
      </c>
      <c r="L17" s="47">
        <f t="shared" si="4"/>
        <v>489488.50719338417</v>
      </c>
      <c r="M17" s="47">
        <f t="shared" si="4"/>
        <v>590844.11015038053</v>
      </c>
      <c r="N17" s="47">
        <f t="shared" si="4"/>
        <v>704479.47801492398</v>
      </c>
      <c r="O17" s="47">
        <f t="shared" si="4"/>
        <v>831685.13294874935</v>
      </c>
      <c r="P17" s="47">
        <f t="shared" si="4"/>
        <v>973879.58676954126</v>
      </c>
      <c r="Q17" s="47">
        <f t="shared" si="4"/>
        <v>1132621.6937522711</v>
      </c>
      <c r="R17" s="47">
        <f t="shared" si="4"/>
        <v>1309624.1795329452</v>
      </c>
      <c r="S17" s="47">
        <f t="shared" si="4"/>
        <v>1506768.4573075029</v>
      </c>
      <c r="T17" s="47">
        <f t="shared" si="4"/>
        <v>1726120.8529925616</v>
      </c>
      <c r="U17" s="47">
        <f t="shared" si="4"/>
        <v>1969950.3724733614</v>
      </c>
      <c r="V17" s="47">
        <f t="shared" si="4"/>
        <v>2240748.1566000804</v>
      </c>
      <c r="W17" s="47">
        <f t="shared" si="4"/>
        <v>2541248.7833078634</v>
      </c>
      <c r="X17" s="47">
        <f t="shared" si="4"/>
        <v>2874453.5912390477</v>
      </c>
      <c r="Y17" s="47">
        <f t="shared" si="4"/>
        <v>3243656.2156592584</v>
      </c>
      <c r="Z17" s="47">
        <f t="shared" si="4"/>
        <v>3652470.5454146578</v>
      </c>
      <c r="AA17" s="47">
        <f t="shared" si="4"/>
        <v>4104861.3293205136</v>
      </c>
      <c r="AB17" s="47">
        <f t="shared" si="4"/>
        <v>4605177.6818598155</v>
      </c>
      <c r="AC17" s="47">
        <f t="shared" si="4"/>
        <v>5158189.7615781985</v>
      </c>
      <c r="AD17" s="47">
        <f t="shared" si="4"/>
        <v>5769128.9212775156</v>
      </c>
      <c r="AE17" s="47">
        <f t="shared" si="4"/>
        <v>6443731.6572423149</v>
      </c>
      <c r="AF17" s="47">
        <f t="shared" si="4"/>
        <v>7188287.7155081201</v>
      </c>
      <c r="AG17" s="47">
        <f t="shared" si="4"/>
        <v>8009692.7468457576</v>
      </c>
      <c r="AH17" s="47">
        <f t="shared" si="4"/>
        <v>8915505.9389634859</v>
      </c>
      <c r="AI17" s="47">
        <f t="shared" si="4"/>
        <v>9914013.0947151463</v>
      </c>
      <c r="AJ17" s="47">
        <f t="shared" si="4"/>
        <v>11014295.669172661</v>
      </c>
      <c r="AK17" s="47">
        <f t="shared" si="4"/>
        <v>12226306.326630117</v>
      </c>
      <c r="AL17" s="47">
        <f t="shared" si="4"/>
        <v>13560951.631342899</v>
      </c>
      <c r="AM17" s="47">
        <f t="shared" si="4"/>
        <v>15030182.543493757</v>
      </c>
      <c r="AN17" s="47">
        <f t="shared" si="4"/>
        <v>16647093.454983212</v>
      </c>
      <c r="AO17" s="47">
        <f t="shared" si="4"/>
        <v>18426030.568672642</v>
      </c>
      <c r="AP17" s="47">
        <f t="shared" si="4"/>
        <v>20382710.500220977</v>
      </c>
      <c r="AQ17" s="47">
        <f t="shared" si="4"/>
        <v>22534350.064258456</v>
      </c>
      <c r="AR17" s="47">
        <f t="shared" si="4"/>
        <v>24899808.296998739</v>
      </c>
      <c r="AS17" s="47">
        <f t="shared" si="4"/>
        <v>27499741.866231691</v>
      </c>
      <c r="AT17" s="47">
        <f t="shared" si="4"/>
        <v>30356775.127759498</v>
      </c>
      <c r="AU17" s="47">
        <f t="shared" si="4"/>
        <v>33495686.205609225</v>
      </c>
      <c r="AV17" s="47">
        <f t="shared" si="4"/>
        <v>36943610.602728069</v>
      </c>
      <c r="AW17" s="47">
        <f t="shared" si="4"/>
        <v>40730263.990385219</v>
      </c>
      <c r="AX17" s="47">
        <f t="shared" si="4"/>
        <v>44888185.979306333</v>
      </c>
      <c r="AY17" s="47">
        <f t="shared" si="4"/>
        <v>49453006.844899252</v>
      </c>
      <c r="AZ17" s="47">
        <f t="shared" si="4"/>
        <v>54463739.364157014</v>
      </c>
      <c r="BA17" s="47">
        <f t="shared" si="4"/>
        <v>59963098.124437258</v>
      </c>
      <c r="BB17" s="47">
        <f t="shared" si="4"/>
        <v>65997848.885947518</v>
      </c>
      <c r="BC17" s="47">
        <f t="shared" si="4"/>
        <v>72619190.822198465</v>
      </c>
      <c r="BD17" s="47">
        <f t="shared" si="4"/>
        <v>79883174.727872998</v>
      </c>
      <c r="BE17" s="47">
        <f t="shared" si="4"/>
        <v>87851160.573634163</v>
      </c>
      <c r="BF17" s="47">
        <f t="shared" si="4"/>
        <v>96590318.104693994</v>
      </c>
      <c r="BG17" s="47">
        <f t="shared" si="4"/>
        <v>106174174.52704316</v>
      </c>
      <c r="BH17" s="47">
        <f t="shared" si="4"/>
        <v>116683213.70489176</v>
      </c>
      <c r="BI17" s="47">
        <f t="shared" si="4"/>
        <v>128205531.70815161</v>
      </c>
      <c r="BJ17" s="47">
        <f t="shared" si="4"/>
        <v>140837554.00304198</v>
      </c>
      <c r="BK17" s="47">
        <f t="shared" si="4"/>
        <v>154684820.0757812</v>
      </c>
      <c r="BL17" s="47">
        <f t="shared" si="4"/>
        <v>169862841.82283595</v>
      </c>
      <c r="BM17" s="47">
        <f t="shared" si="4"/>
        <v>186498042.63571224</v>
      </c>
      <c r="BN17" s="47">
        <f t="shared" si="4"/>
        <v>204728784.7585732</v>
      </c>
      <c r="BO17" s="47">
        <f t="shared" si="4"/>
        <v>224706493.20829421</v>
      </c>
      <c r="BP17" s="47">
        <f t="shared" si="4"/>
        <v>246596885.32463738</v>
      </c>
      <c r="BQ17" s="47">
        <f t="shared" si="4"/>
        <v>270581315.86931342</v>
      </c>
      <c r="BR17" s="47">
        <f t="shared" ref="BR17:BS17" si="5">BQ20</f>
        <v>296858248.52364296</v>
      </c>
      <c r="BS17" s="47">
        <f t="shared" si="5"/>
        <v>325644865.65282935</v>
      </c>
    </row>
    <row r="18" spans="2:71">
      <c r="C18" s="70" t="s">
        <v>45</v>
      </c>
      <c r="D18" s="76">
        <f>C8</f>
        <v>0.09</v>
      </c>
      <c r="E18" s="76">
        <f>D18</f>
        <v>0.09</v>
      </c>
      <c r="F18" s="76">
        <f t="shared" ref="F18:BQ18" si="6">E18</f>
        <v>0.09</v>
      </c>
      <c r="G18" s="76">
        <f t="shared" si="6"/>
        <v>0.09</v>
      </c>
      <c r="H18" s="76">
        <f t="shared" si="6"/>
        <v>0.09</v>
      </c>
      <c r="I18" s="76">
        <f t="shared" si="6"/>
        <v>0.09</v>
      </c>
      <c r="J18" s="76">
        <f t="shared" si="6"/>
        <v>0.09</v>
      </c>
      <c r="K18" s="76">
        <f t="shared" si="6"/>
        <v>0.09</v>
      </c>
      <c r="L18" s="56">
        <f t="shared" si="6"/>
        <v>0.09</v>
      </c>
      <c r="M18" s="56">
        <f t="shared" si="6"/>
        <v>0.09</v>
      </c>
      <c r="N18" s="56">
        <f t="shared" si="6"/>
        <v>0.09</v>
      </c>
      <c r="O18" s="56">
        <f t="shared" si="6"/>
        <v>0.09</v>
      </c>
      <c r="P18" s="56">
        <f t="shared" si="6"/>
        <v>0.09</v>
      </c>
      <c r="Q18" s="56">
        <f t="shared" si="6"/>
        <v>0.09</v>
      </c>
      <c r="R18" s="56">
        <f t="shared" si="6"/>
        <v>0.09</v>
      </c>
      <c r="S18" s="56">
        <f t="shared" si="6"/>
        <v>0.09</v>
      </c>
      <c r="T18" s="56">
        <f t="shared" si="6"/>
        <v>0.09</v>
      </c>
      <c r="U18" s="56">
        <f t="shared" si="6"/>
        <v>0.09</v>
      </c>
      <c r="V18" s="56">
        <f t="shared" si="6"/>
        <v>0.09</v>
      </c>
      <c r="W18" s="56">
        <f t="shared" si="6"/>
        <v>0.09</v>
      </c>
      <c r="X18" s="56">
        <f t="shared" si="6"/>
        <v>0.09</v>
      </c>
      <c r="Y18" s="56">
        <f t="shared" si="6"/>
        <v>0.09</v>
      </c>
      <c r="Z18" s="56">
        <f t="shared" si="6"/>
        <v>0.09</v>
      </c>
      <c r="AA18" s="56">
        <f t="shared" si="6"/>
        <v>0.09</v>
      </c>
      <c r="AB18" s="56">
        <f t="shared" si="6"/>
        <v>0.09</v>
      </c>
      <c r="AC18" s="56">
        <f t="shared" si="6"/>
        <v>0.09</v>
      </c>
      <c r="AD18" s="56">
        <f t="shared" si="6"/>
        <v>0.09</v>
      </c>
      <c r="AE18" s="56">
        <f t="shared" si="6"/>
        <v>0.09</v>
      </c>
      <c r="AF18" s="56">
        <f t="shared" si="6"/>
        <v>0.09</v>
      </c>
      <c r="AG18" s="56">
        <f t="shared" si="6"/>
        <v>0.09</v>
      </c>
      <c r="AH18" s="56">
        <f t="shared" si="6"/>
        <v>0.09</v>
      </c>
      <c r="AI18" s="56">
        <f t="shared" si="6"/>
        <v>0.09</v>
      </c>
      <c r="AJ18" s="56">
        <f t="shared" si="6"/>
        <v>0.09</v>
      </c>
      <c r="AK18" s="56">
        <f t="shared" si="6"/>
        <v>0.09</v>
      </c>
      <c r="AL18" s="56">
        <f t="shared" si="6"/>
        <v>0.09</v>
      </c>
      <c r="AM18" s="56">
        <f t="shared" si="6"/>
        <v>0.09</v>
      </c>
      <c r="AN18" s="56">
        <f t="shared" si="6"/>
        <v>0.09</v>
      </c>
      <c r="AO18" s="56">
        <f t="shared" si="6"/>
        <v>0.09</v>
      </c>
      <c r="AP18" s="56">
        <f t="shared" si="6"/>
        <v>0.09</v>
      </c>
      <c r="AQ18" s="56">
        <f t="shared" si="6"/>
        <v>0.09</v>
      </c>
      <c r="AR18" s="56">
        <f t="shared" si="6"/>
        <v>0.09</v>
      </c>
      <c r="AS18" s="56">
        <f t="shared" si="6"/>
        <v>0.09</v>
      </c>
      <c r="AT18" s="56">
        <f t="shared" si="6"/>
        <v>0.09</v>
      </c>
      <c r="AU18" s="56">
        <f t="shared" si="6"/>
        <v>0.09</v>
      </c>
      <c r="AV18" s="56">
        <f t="shared" si="6"/>
        <v>0.09</v>
      </c>
      <c r="AW18" s="56">
        <f t="shared" si="6"/>
        <v>0.09</v>
      </c>
      <c r="AX18" s="56">
        <f t="shared" si="6"/>
        <v>0.09</v>
      </c>
      <c r="AY18" s="56">
        <f t="shared" si="6"/>
        <v>0.09</v>
      </c>
      <c r="AZ18" s="56">
        <f t="shared" si="6"/>
        <v>0.09</v>
      </c>
      <c r="BA18" s="56">
        <f t="shared" si="6"/>
        <v>0.09</v>
      </c>
      <c r="BB18" s="56">
        <f t="shared" si="6"/>
        <v>0.09</v>
      </c>
      <c r="BC18" s="56">
        <f t="shared" si="6"/>
        <v>0.09</v>
      </c>
      <c r="BD18" s="56">
        <f t="shared" si="6"/>
        <v>0.09</v>
      </c>
      <c r="BE18" s="56">
        <f t="shared" si="6"/>
        <v>0.09</v>
      </c>
      <c r="BF18" s="56">
        <f t="shared" si="6"/>
        <v>0.09</v>
      </c>
      <c r="BG18" s="56">
        <f t="shared" si="6"/>
        <v>0.09</v>
      </c>
      <c r="BH18" s="56">
        <f t="shared" si="6"/>
        <v>0.09</v>
      </c>
      <c r="BI18" s="56">
        <f t="shared" si="6"/>
        <v>0.09</v>
      </c>
      <c r="BJ18" s="56">
        <f t="shared" si="6"/>
        <v>0.09</v>
      </c>
      <c r="BK18" s="56">
        <f t="shared" si="6"/>
        <v>0.09</v>
      </c>
      <c r="BL18" s="56">
        <f t="shared" si="6"/>
        <v>0.09</v>
      </c>
      <c r="BM18" s="56">
        <f t="shared" si="6"/>
        <v>0.09</v>
      </c>
      <c r="BN18" s="56">
        <f t="shared" si="6"/>
        <v>0.09</v>
      </c>
      <c r="BO18" s="56">
        <f t="shared" si="6"/>
        <v>0.09</v>
      </c>
      <c r="BP18" s="56">
        <f t="shared" si="6"/>
        <v>0.09</v>
      </c>
      <c r="BQ18" s="56">
        <f t="shared" si="6"/>
        <v>0.09</v>
      </c>
      <c r="BR18" s="56">
        <f t="shared" ref="BR18:BS18" si="7">BQ18</f>
        <v>0.09</v>
      </c>
      <c r="BS18" s="56">
        <f t="shared" si="7"/>
        <v>0.09</v>
      </c>
    </row>
    <row r="19" spans="2:71" s="71" customFormat="1">
      <c r="C19" s="72" t="s">
        <v>55</v>
      </c>
      <c r="D19" s="77">
        <f>C5</f>
        <v>3000</v>
      </c>
      <c r="E19" s="77">
        <f>D19*(1+$C$6)</f>
        <v>3150</v>
      </c>
      <c r="F19" s="77">
        <f t="shared" ref="F19:BQ19" si="8">E19*(1+$C$6)</f>
        <v>3307.5</v>
      </c>
      <c r="G19" s="77">
        <f t="shared" si="8"/>
        <v>3472.875</v>
      </c>
      <c r="H19" s="77">
        <f t="shared" si="8"/>
        <v>3646.5187500000002</v>
      </c>
      <c r="I19" s="77">
        <f t="shared" si="8"/>
        <v>3828.8446875000004</v>
      </c>
      <c r="J19" s="77">
        <f t="shared" si="8"/>
        <v>4020.2869218750006</v>
      </c>
      <c r="K19" s="77">
        <f t="shared" si="8"/>
        <v>4221.3012679687508</v>
      </c>
      <c r="L19" s="78">
        <f t="shared" si="8"/>
        <v>4432.3663313671886</v>
      </c>
      <c r="M19" s="78">
        <f t="shared" si="8"/>
        <v>4653.9846479355483</v>
      </c>
      <c r="N19" s="78">
        <f t="shared" si="8"/>
        <v>4886.6838803323262</v>
      </c>
      <c r="O19" s="78">
        <f t="shared" si="8"/>
        <v>5131.0180743489427</v>
      </c>
      <c r="P19" s="78">
        <f t="shared" si="8"/>
        <v>5387.5689780663897</v>
      </c>
      <c r="Q19" s="78">
        <f t="shared" si="8"/>
        <v>5656.9474269697093</v>
      </c>
      <c r="R19" s="78">
        <f t="shared" si="8"/>
        <v>5939.7947983181948</v>
      </c>
      <c r="S19" s="78">
        <f t="shared" si="8"/>
        <v>6236.7845382341047</v>
      </c>
      <c r="T19" s="78">
        <f t="shared" si="8"/>
        <v>6548.6237651458105</v>
      </c>
      <c r="U19" s="78">
        <f t="shared" si="8"/>
        <v>6876.0549534031015</v>
      </c>
      <c r="V19" s="78">
        <f t="shared" si="8"/>
        <v>7219.857701073257</v>
      </c>
      <c r="W19" s="78">
        <f t="shared" si="8"/>
        <v>7580.8505861269205</v>
      </c>
      <c r="X19" s="78">
        <f t="shared" si="8"/>
        <v>7959.8931154332668</v>
      </c>
      <c r="Y19" s="78">
        <f t="shared" si="8"/>
        <v>8357.8877712049307</v>
      </c>
      <c r="Z19" s="78">
        <f t="shared" si="8"/>
        <v>8775.7821597651782</v>
      </c>
      <c r="AA19" s="78">
        <f t="shared" si="8"/>
        <v>9214.5712677534375</v>
      </c>
      <c r="AB19" s="78">
        <f t="shared" si="8"/>
        <v>9675.2998311411102</v>
      </c>
      <c r="AC19" s="78">
        <f t="shared" si="8"/>
        <v>10159.064822698167</v>
      </c>
      <c r="AD19" s="78">
        <f t="shared" si="8"/>
        <v>10667.018063833075</v>
      </c>
      <c r="AE19" s="78">
        <f t="shared" si="8"/>
        <v>11200.368967024729</v>
      </c>
      <c r="AF19" s="78">
        <f t="shared" si="8"/>
        <v>11760.387415375966</v>
      </c>
      <c r="AG19" s="78">
        <f t="shared" si="8"/>
        <v>12348.406786144766</v>
      </c>
      <c r="AH19" s="78">
        <f t="shared" si="8"/>
        <v>12965.827125452004</v>
      </c>
      <c r="AI19" s="78">
        <f t="shared" si="8"/>
        <v>13614.118481724605</v>
      </c>
      <c r="AJ19" s="78">
        <f t="shared" si="8"/>
        <v>14294.824405810836</v>
      </c>
      <c r="AK19" s="78">
        <f t="shared" si="8"/>
        <v>15009.565626101377</v>
      </c>
      <c r="AL19" s="78">
        <f t="shared" si="8"/>
        <v>15760.043907406447</v>
      </c>
      <c r="AM19" s="78">
        <f t="shared" si="8"/>
        <v>16548.046102776771</v>
      </c>
      <c r="AN19" s="78">
        <f t="shared" si="8"/>
        <v>17375.44840791561</v>
      </c>
      <c r="AO19" s="78">
        <f t="shared" si="8"/>
        <v>18244.220828311391</v>
      </c>
      <c r="AP19" s="78">
        <f t="shared" si="8"/>
        <v>19156.431869726959</v>
      </c>
      <c r="AQ19" s="78">
        <f t="shared" si="8"/>
        <v>20114.253463213307</v>
      </c>
      <c r="AR19" s="78">
        <f t="shared" si="8"/>
        <v>21119.966136373972</v>
      </c>
      <c r="AS19" s="78">
        <f t="shared" si="8"/>
        <v>22175.964443192672</v>
      </c>
      <c r="AT19" s="78">
        <f t="shared" si="8"/>
        <v>23284.762665352308</v>
      </c>
      <c r="AU19" s="78">
        <f t="shared" si="8"/>
        <v>24449.000798619923</v>
      </c>
      <c r="AV19" s="78">
        <f t="shared" si="8"/>
        <v>25671.450838550922</v>
      </c>
      <c r="AW19" s="78">
        <f t="shared" si="8"/>
        <v>26955.023380478469</v>
      </c>
      <c r="AX19" s="78">
        <f t="shared" si="8"/>
        <v>28302.774549502396</v>
      </c>
      <c r="AY19" s="78">
        <f t="shared" si="8"/>
        <v>29717.913276977517</v>
      </c>
      <c r="AZ19" s="78">
        <f t="shared" si="8"/>
        <v>31203.808940826395</v>
      </c>
      <c r="BA19" s="78">
        <f t="shared" si="8"/>
        <v>32763.999387867716</v>
      </c>
      <c r="BB19" s="78">
        <f t="shared" si="8"/>
        <v>34402.199357261103</v>
      </c>
      <c r="BC19" s="78">
        <f t="shared" si="8"/>
        <v>36122.309325124159</v>
      </c>
      <c r="BD19" s="78">
        <f t="shared" si="8"/>
        <v>37928.42479138037</v>
      </c>
      <c r="BE19" s="78">
        <f t="shared" si="8"/>
        <v>39824.846030949389</v>
      </c>
      <c r="BF19" s="78">
        <f t="shared" si="8"/>
        <v>41816.08833249686</v>
      </c>
      <c r="BG19" s="78">
        <f t="shared" si="8"/>
        <v>43906.892749121704</v>
      </c>
      <c r="BH19" s="78">
        <f t="shared" si="8"/>
        <v>46102.237386577792</v>
      </c>
      <c r="BI19" s="78">
        <f t="shared" si="8"/>
        <v>48407.34925590668</v>
      </c>
      <c r="BJ19" s="78">
        <f t="shared" si="8"/>
        <v>50827.716718702017</v>
      </c>
      <c r="BK19" s="78">
        <f t="shared" si="8"/>
        <v>53369.102554637117</v>
      </c>
      <c r="BL19" s="78">
        <f t="shared" si="8"/>
        <v>56037.557682368977</v>
      </c>
      <c r="BM19" s="78">
        <f t="shared" si="8"/>
        <v>58839.435566487431</v>
      </c>
      <c r="BN19" s="78">
        <f t="shared" si="8"/>
        <v>61781.407344811807</v>
      </c>
      <c r="BO19" s="78">
        <f t="shared" si="8"/>
        <v>64870.477712052401</v>
      </c>
      <c r="BP19" s="78">
        <f t="shared" si="8"/>
        <v>68114.00159765502</v>
      </c>
      <c r="BQ19" s="78">
        <f t="shared" si="8"/>
        <v>71519.701677537771</v>
      </c>
      <c r="BR19" s="78">
        <f t="shared" ref="BR19:BS19" si="9">BQ19*(1+$C$6)</f>
        <v>75095.686761414661</v>
      </c>
      <c r="BS19" s="78">
        <f t="shared" si="9"/>
        <v>78850.471099485396</v>
      </c>
    </row>
    <row r="20" spans="2:71">
      <c r="C20" s="70" t="s">
        <v>54</v>
      </c>
      <c r="D20" s="65">
        <f>FV(D18/12,12,-D19,-D17)</f>
        <v>37522.759068393709</v>
      </c>
      <c r="E20" s="65">
        <f>FV(E18/12,12,-E19,-E17)</f>
        <v>80441.549710468913</v>
      </c>
      <c r="F20" s="65">
        <f t="shared" ref="F20:BQ20" si="10">FV(F18/12,12,-F19,-F17)</f>
        <v>129356.36380555833</v>
      </c>
      <c r="G20" s="65">
        <f t="shared" si="10"/>
        <v>184928.16695470622</v>
      </c>
      <c r="H20" s="65">
        <f t="shared" si="10"/>
        <v>247884.85275358579</v>
      </c>
      <c r="I20" s="65">
        <f t="shared" si="10"/>
        <v>319027.767343149</v>
      </c>
      <c r="J20" s="65">
        <f t="shared" si="10"/>
        <v>399238.85832028696</v>
      </c>
      <c r="K20" s="65">
        <f t="shared" si="10"/>
        <v>489488.50719338417</v>
      </c>
      <c r="L20" s="45">
        <f t="shared" si="10"/>
        <v>590844.11015038053</v>
      </c>
      <c r="M20" s="45">
        <f t="shared" si="10"/>
        <v>704479.47801492398</v>
      </c>
      <c r="N20" s="45">
        <f t="shared" si="10"/>
        <v>831685.13294874935</v>
      </c>
      <c r="O20" s="45">
        <f t="shared" si="10"/>
        <v>973879.58676954126</v>
      </c>
      <c r="P20" s="45">
        <f t="shared" si="10"/>
        <v>1132621.6937522711</v>
      </c>
      <c r="Q20" s="45">
        <f t="shared" si="10"/>
        <v>1309624.1795329452</v>
      </c>
      <c r="R20" s="45">
        <f t="shared" si="10"/>
        <v>1506768.4573075029</v>
      </c>
      <c r="S20" s="45">
        <f t="shared" si="10"/>
        <v>1726120.8529925616</v>
      </c>
      <c r="T20" s="45">
        <f t="shared" si="10"/>
        <v>1969950.3724733614</v>
      </c>
      <c r="U20" s="45">
        <f t="shared" si="10"/>
        <v>2240748.1566000804</v>
      </c>
      <c r="V20" s="45">
        <f t="shared" si="10"/>
        <v>2541248.7833078634</v>
      </c>
      <c r="W20" s="45">
        <f t="shared" si="10"/>
        <v>2874453.5912390477</v>
      </c>
      <c r="X20" s="45">
        <f t="shared" si="10"/>
        <v>3243656.2156592584</v>
      </c>
      <c r="Y20" s="45">
        <f t="shared" si="10"/>
        <v>3652470.5454146578</v>
      </c>
      <c r="Z20" s="45">
        <f t="shared" si="10"/>
        <v>4104861.3293205136</v>
      </c>
      <c r="AA20" s="45">
        <f t="shared" si="10"/>
        <v>4605177.6818598155</v>
      </c>
      <c r="AB20" s="45">
        <f t="shared" si="10"/>
        <v>5158189.7615781985</v>
      </c>
      <c r="AC20" s="45">
        <f t="shared" si="10"/>
        <v>5769128.9212775156</v>
      </c>
      <c r="AD20" s="45">
        <f t="shared" si="10"/>
        <v>6443731.6572423149</v>
      </c>
      <c r="AE20" s="45">
        <f t="shared" si="10"/>
        <v>7188287.7155081201</v>
      </c>
      <c r="AF20" s="45">
        <f t="shared" si="10"/>
        <v>8009692.7468457576</v>
      </c>
      <c r="AG20" s="45">
        <f t="shared" si="10"/>
        <v>8915505.9389634859</v>
      </c>
      <c r="AH20" s="45">
        <f t="shared" si="10"/>
        <v>9914013.0947151463</v>
      </c>
      <c r="AI20" s="45">
        <f t="shared" si="10"/>
        <v>11014295.669172661</v>
      </c>
      <c r="AJ20" s="45">
        <f t="shared" si="10"/>
        <v>12226306.326630117</v>
      </c>
      <c r="AK20" s="45">
        <f t="shared" si="10"/>
        <v>13560951.631342899</v>
      </c>
      <c r="AL20" s="45">
        <f t="shared" si="10"/>
        <v>15030182.543493757</v>
      </c>
      <c r="AM20" s="45">
        <f t="shared" si="10"/>
        <v>16647093.454983212</v>
      </c>
      <c r="AN20" s="45">
        <f t="shared" si="10"/>
        <v>18426030.568672642</v>
      </c>
      <c r="AO20" s="45">
        <f t="shared" si="10"/>
        <v>20382710.500220977</v>
      </c>
      <c r="AP20" s="45">
        <f t="shared" si="10"/>
        <v>22534350.064258456</v>
      </c>
      <c r="AQ20" s="45">
        <f t="shared" si="10"/>
        <v>24899808.296998739</v>
      </c>
      <c r="AR20" s="45">
        <f t="shared" si="10"/>
        <v>27499741.866231691</v>
      </c>
      <c r="AS20" s="45">
        <f t="shared" si="10"/>
        <v>30356775.127759498</v>
      </c>
      <c r="AT20" s="45">
        <f t="shared" si="10"/>
        <v>33495686.205609225</v>
      </c>
      <c r="AU20" s="45">
        <f t="shared" si="10"/>
        <v>36943610.602728069</v>
      </c>
      <c r="AV20" s="45">
        <f t="shared" si="10"/>
        <v>40730263.990385219</v>
      </c>
      <c r="AW20" s="45">
        <f t="shared" si="10"/>
        <v>44888185.979306333</v>
      </c>
      <c r="AX20" s="45">
        <f t="shared" si="10"/>
        <v>49453006.844899252</v>
      </c>
      <c r="AY20" s="45">
        <f t="shared" si="10"/>
        <v>54463739.364157014</v>
      </c>
      <c r="AZ20" s="45">
        <f t="shared" si="10"/>
        <v>59963098.124437258</v>
      </c>
      <c r="BA20" s="45">
        <f t="shared" si="10"/>
        <v>65997848.885947518</v>
      </c>
      <c r="BB20" s="45">
        <f t="shared" si="10"/>
        <v>72619190.822198465</v>
      </c>
      <c r="BC20" s="45">
        <f t="shared" si="10"/>
        <v>79883174.727872998</v>
      </c>
      <c r="BD20" s="45">
        <f t="shared" si="10"/>
        <v>87851160.573634163</v>
      </c>
      <c r="BE20" s="45">
        <f t="shared" si="10"/>
        <v>96590318.104693994</v>
      </c>
      <c r="BF20" s="45">
        <f t="shared" si="10"/>
        <v>106174174.52704316</v>
      </c>
      <c r="BG20" s="45">
        <f t="shared" si="10"/>
        <v>116683213.70489176</v>
      </c>
      <c r="BH20" s="45">
        <f t="shared" si="10"/>
        <v>128205531.70815161</v>
      </c>
      <c r="BI20" s="45">
        <f t="shared" si="10"/>
        <v>140837554.00304198</v>
      </c>
      <c r="BJ20" s="45">
        <f t="shared" si="10"/>
        <v>154684820.0757812</v>
      </c>
      <c r="BK20" s="45">
        <f t="shared" si="10"/>
        <v>169862841.82283595</v>
      </c>
      <c r="BL20" s="45">
        <f t="shared" si="10"/>
        <v>186498042.63571224</v>
      </c>
      <c r="BM20" s="45">
        <f t="shared" si="10"/>
        <v>204728784.7585732</v>
      </c>
      <c r="BN20" s="45">
        <f t="shared" si="10"/>
        <v>224706493.20829421</v>
      </c>
      <c r="BO20" s="45">
        <f t="shared" si="10"/>
        <v>246596885.32463738</v>
      </c>
      <c r="BP20" s="45">
        <f t="shared" si="10"/>
        <v>270581315.86931342</v>
      </c>
      <c r="BQ20" s="45">
        <f t="shared" si="10"/>
        <v>296858248.52364296</v>
      </c>
      <c r="BR20" s="45">
        <f t="shared" ref="BR20:BS20" si="11">FV(BR18/12,12,-BR19,-BR17)</f>
        <v>325644865.65282935</v>
      </c>
      <c r="BS20" s="45">
        <f t="shared" si="11"/>
        <v>357178829.31870419</v>
      </c>
    </row>
    <row r="21" spans="2:71">
      <c r="C21" s="70"/>
    </row>
    <row r="22" spans="2:71" s="45" customFormat="1" ht="17" thickBot="1">
      <c r="C22" s="45" t="s">
        <v>56</v>
      </c>
      <c r="D22" s="45">
        <f>D19*12</f>
        <v>36000</v>
      </c>
      <c r="E22" s="45">
        <f>(E19*12)+D22</f>
        <v>73800</v>
      </c>
      <c r="F22" s="45">
        <f t="shared" ref="F22:P22" si="12">(F19*12)+E22</f>
        <v>113490</v>
      </c>
      <c r="G22" s="45">
        <f t="shared" si="12"/>
        <v>155164.5</v>
      </c>
      <c r="H22" s="45">
        <f t="shared" si="12"/>
        <v>198922.72500000001</v>
      </c>
      <c r="I22" s="45">
        <f t="shared" si="12"/>
        <v>244868.86125000002</v>
      </c>
      <c r="J22" s="45">
        <f t="shared" si="12"/>
        <v>293112.30431250005</v>
      </c>
      <c r="K22" s="45">
        <f t="shared" si="12"/>
        <v>343767.91952812509</v>
      </c>
      <c r="L22" s="45">
        <f t="shared" si="12"/>
        <v>396956.31550453138</v>
      </c>
      <c r="M22" s="45">
        <f t="shared" si="12"/>
        <v>452804.13127975794</v>
      </c>
      <c r="N22" s="45">
        <f t="shared" si="12"/>
        <v>511444.33784374583</v>
      </c>
      <c r="O22" s="45">
        <f t="shared" si="12"/>
        <v>573016.5547359332</v>
      </c>
      <c r="P22" s="45">
        <f t="shared" si="12"/>
        <v>637667.38247272989</v>
      </c>
    </row>
    <row r="23" spans="2:71" s="45" customFormat="1">
      <c r="B23" s="62" t="s">
        <v>10</v>
      </c>
      <c r="C23" s="66">
        <f>HLOOKUP(C10,C16:BS20,5)</f>
        <v>2874453.5912390477</v>
      </c>
      <c r="D23" s="79"/>
      <c r="E23" s="79"/>
      <c r="F23" s="79"/>
      <c r="G23" s="79"/>
      <c r="H23" s="79"/>
      <c r="I23" s="79"/>
      <c r="J23" s="79"/>
      <c r="K23" s="80"/>
    </row>
    <row r="24" spans="2:71" s="45" customFormat="1">
      <c r="B24" s="81" t="s">
        <v>13</v>
      </c>
      <c r="C24" s="82">
        <f>FV(C7+1%,C10-(C3),,-C12)*C11*12</f>
        <v>15161701.172253834</v>
      </c>
      <c r="K24" s="83"/>
    </row>
    <row r="25" spans="2:71" s="45" customFormat="1">
      <c r="B25" s="81" t="s">
        <v>11</v>
      </c>
      <c r="C25" s="63">
        <f>C23/C24</f>
        <v>0.18958648232029171</v>
      </c>
      <c r="D25" s="67">
        <f>C25*100</f>
        <v>18.958648232029169</v>
      </c>
      <c r="E25" s="45" t="s">
        <v>22</v>
      </c>
      <c r="K25" s="83"/>
    </row>
    <row r="26" spans="2:71" s="45" customFormat="1">
      <c r="B26" s="81"/>
      <c r="C26" s="84"/>
      <c r="E26" s="45" t="str">
        <f>CONCATENATE("Your retirement planning is around ",ROUND(D25,0),"% sufficient.")</f>
        <v>Your retirement planning is around 19% sufficient.</v>
      </c>
      <c r="K26" s="83"/>
    </row>
    <row r="27" spans="2:71" s="45" customFormat="1" ht="17" thickBot="1">
      <c r="B27" s="85" t="s">
        <v>15</v>
      </c>
      <c r="C27" s="86">
        <f>FV(C7,C10-(C3),,-C12)</f>
        <v>52671.229399841854</v>
      </c>
      <c r="E27" s="45" t="str">
        <f>IF(C39&gt;C11,E25,E26)</f>
        <v>Your retirement planning is around 19% sufficient.</v>
      </c>
      <c r="K27" s="83"/>
    </row>
    <row r="28" spans="2:71" s="45" customFormat="1">
      <c r="B28" s="47"/>
      <c r="C28" s="87"/>
      <c r="D28" s="88"/>
      <c r="E28" s="45" t="str">
        <f>CONCATENATE(E27," Your Retirement Fund would last around ",C39," years. ")</f>
        <v xml:space="preserve">Your retirement planning is around 19% sufficient. Your Retirement Fund would last around 6 years. </v>
      </c>
      <c r="K28" s="83"/>
    </row>
    <row r="29" spans="2:71" s="45" customFormat="1">
      <c r="B29" s="47"/>
      <c r="C29" s="87"/>
      <c r="D29" s="88"/>
      <c r="E29" s="45" t="str">
        <f>CONCATENATE("Contributing R",C5," with current savings of R",C4," will give you around R",ROUND(C23,0),".")</f>
        <v>Contributing R3000 with current savings of R0 will give you around R2874454.</v>
      </c>
      <c r="K29" s="83"/>
    </row>
    <row r="30" spans="2:71" s="45" customFormat="1">
      <c r="B30" s="47"/>
      <c r="C30" s="87"/>
      <c r="D30" s="89"/>
      <c r="E30" s="90" t="str">
        <f>CONCATENATE("To retire with a monthly amount of R",C12," in present value you would need around R",ROUND(C24,0),".")</f>
        <v>To retire with a monthly amount of R25000 in present value you would need around R15161701.</v>
      </c>
      <c r="F30" s="90"/>
      <c r="G30" s="90"/>
      <c r="H30" s="90"/>
      <c r="I30" s="90"/>
      <c r="J30" s="90"/>
      <c r="K30" s="91"/>
    </row>
    <row r="31" spans="2:71" s="45" customFormat="1">
      <c r="B31" s="47"/>
      <c r="C31" s="87"/>
    </row>
    <row r="32" spans="2:71" s="45" customFormat="1">
      <c r="B32" s="47"/>
      <c r="C32" s="87"/>
    </row>
    <row r="33" spans="2:71" s="45" customFormat="1" ht="17" customHeight="1">
      <c r="B33" s="47"/>
    </row>
    <row r="34" spans="2:71" s="73" customFormat="1">
      <c r="D34" s="73">
        <f>C10+1</f>
        <v>66</v>
      </c>
      <c r="E34" s="73">
        <f>D34+1</f>
        <v>67</v>
      </c>
      <c r="F34" s="73">
        <f t="shared" ref="F34:BQ34" si="13">E34+1</f>
        <v>68</v>
      </c>
      <c r="G34" s="73">
        <f t="shared" si="13"/>
        <v>69</v>
      </c>
      <c r="H34" s="73">
        <f t="shared" si="13"/>
        <v>70</v>
      </c>
      <c r="I34" s="73">
        <f t="shared" si="13"/>
        <v>71</v>
      </c>
      <c r="J34" s="73">
        <f t="shared" si="13"/>
        <v>72</v>
      </c>
      <c r="K34" s="73">
        <f t="shared" si="13"/>
        <v>73</v>
      </c>
      <c r="L34" s="73">
        <f t="shared" si="13"/>
        <v>74</v>
      </c>
      <c r="M34" s="73">
        <f t="shared" si="13"/>
        <v>75</v>
      </c>
      <c r="N34" s="73">
        <f t="shared" si="13"/>
        <v>76</v>
      </c>
      <c r="O34" s="73">
        <f t="shared" si="13"/>
        <v>77</v>
      </c>
      <c r="P34" s="73">
        <f t="shared" si="13"/>
        <v>78</v>
      </c>
      <c r="Q34" s="73">
        <f t="shared" si="13"/>
        <v>79</v>
      </c>
      <c r="R34" s="73">
        <f t="shared" si="13"/>
        <v>80</v>
      </c>
      <c r="S34" s="73">
        <f t="shared" si="13"/>
        <v>81</v>
      </c>
      <c r="T34" s="73">
        <f t="shared" si="13"/>
        <v>82</v>
      </c>
      <c r="U34" s="73">
        <f t="shared" si="13"/>
        <v>83</v>
      </c>
      <c r="V34" s="73">
        <f t="shared" si="13"/>
        <v>84</v>
      </c>
      <c r="W34" s="73">
        <f t="shared" si="13"/>
        <v>85</v>
      </c>
      <c r="X34" s="73">
        <f t="shared" si="13"/>
        <v>86</v>
      </c>
      <c r="Y34" s="73">
        <f t="shared" si="13"/>
        <v>87</v>
      </c>
      <c r="Z34" s="73">
        <f t="shared" si="13"/>
        <v>88</v>
      </c>
      <c r="AA34" s="73">
        <f t="shared" si="13"/>
        <v>89</v>
      </c>
      <c r="AB34" s="73">
        <f t="shared" si="13"/>
        <v>90</v>
      </c>
      <c r="AC34" s="73">
        <f t="shared" si="13"/>
        <v>91</v>
      </c>
      <c r="AD34" s="73">
        <f t="shared" si="13"/>
        <v>92</v>
      </c>
      <c r="AE34" s="73">
        <f t="shared" si="13"/>
        <v>93</v>
      </c>
      <c r="AF34" s="73">
        <f t="shared" si="13"/>
        <v>94</v>
      </c>
      <c r="AG34" s="73">
        <f t="shared" si="13"/>
        <v>95</v>
      </c>
      <c r="AH34" s="73">
        <f t="shared" si="13"/>
        <v>96</v>
      </c>
      <c r="AI34" s="73">
        <f t="shared" si="13"/>
        <v>97</v>
      </c>
      <c r="AJ34" s="73">
        <f t="shared" si="13"/>
        <v>98</v>
      </c>
      <c r="AK34" s="73">
        <f t="shared" si="13"/>
        <v>99</v>
      </c>
      <c r="AL34" s="73">
        <f t="shared" si="13"/>
        <v>100</v>
      </c>
      <c r="AM34" s="73">
        <f t="shared" si="13"/>
        <v>101</v>
      </c>
      <c r="AN34" s="73">
        <f t="shared" si="13"/>
        <v>102</v>
      </c>
      <c r="AO34" s="73">
        <f t="shared" si="13"/>
        <v>103</v>
      </c>
      <c r="AP34" s="73">
        <f t="shared" si="13"/>
        <v>104</v>
      </c>
      <c r="AQ34" s="73">
        <f t="shared" si="13"/>
        <v>105</v>
      </c>
      <c r="AR34" s="73">
        <f t="shared" si="13"/>
        <v>106</v>
      </c>
      <c r="AS34" s="73">
        <f t="shared" si="13"/>
        <v>107</v>
      </c>
      <c r="AT34" s="73">
        <f t="shared" si="13"/>
        <v>108</v>
      </c>
      <c r="AU34" s="73">
        <f t="shared" si="13"/>
        <v>109</v>
      </c>
      <c r="AV34" s="73">
        <f t="shared" si="13"/>
        <v>110</v>
      </c>
      <c r="AW34" s="73">
        <f t="shared" si="13"/>
        <v>111</v>
      </c>
      <c r="AX34" s="73">
        <f t="shared" si="13"/>
        <v>112</v>
      </c>
      <c r="AY34" s="73">
        <f t="shared" si="13"/>
        <v>113</v>
      </c>
      <c r="AZ34" s="73">
        <f t="shared" si="13"/>
        <v>114</v>
      </c>
      <c r="BA34" s="73">
        <f t="shared" si="13"/>
        <v>115</v>
      </c>
      <c r="BB34" s="73">
        <f t="shared" si="13"/>
        <v>116</v>
      </c>
      <c r="BC34" s="73">
        <f t="shared" si="13"/>
        <v>117</v>
      </c>
      <c r="BD34" s="73">
        <f t="shared" si="13"/>
        <v>118</v>
      </c>
      <c r="BE34" s="73">
        <f t="shared" si="13"/>
        <v>119</v>
      </c>
      <c r="BF34" s="73">
        <f t="shared" si="13"/>
        <v>120</v>
      </c>
      <c r="BG34" s="73">
        <f t="shared" si="13"/>
        <v>121</v>
      </c>
      <c r="BH34" s="73">
        <f t="shared" si="13"/>
        <v>122</v>
      </c>
      <c r="BI34" s="73">
        <f t="shared" si="13"/>
        <v>123</v>
      </c>
      <c r="BJ34" s="73">
        <f t="shared" si="13"/>
        <v>124</v>
      </c>
      <c r="BK34" s="73">
        <f t="shared" si="13"/>
        <v>125</v>
      </c>
      <c r="BL34" s="73">
        <f t="shared" si="13"/>
        <v>126</v>
      </c>
      <c r="BM34" s="73">
        <f t="shared" si="13"/>
        <v>127</v>
      </c>
      <c r="BN34" s="73">
        <f t="shared" si="13"/>
        <v>128</v>
      </c>
      <c r="BO34" s="73">
        <f t="shared" si="13"/>
        <v>129</v>
      </c>
      <c r="BP34" s="73">
        <f t="shared" si="13"/>
        <v>130</v>
      </c>
      <c r="BQ34" s="73">
        <f t="shared" si="13"/>
        <v>131</v>
      </c>
      <c r="BR34" s="73">
        <f t="shared" ref="BR34:BS34" si="14">BQ34+1</f>
        <v>132</v>
      </c>
      <c r="BS34" s="73">
        <f t="shared" si="14"/>
        <v>133</v>
      </c>
    </row>
    <row r="35" spans="2:71" s="45" customFormat="1">
      <c r="C35" s="45" t="s">
        <v>10</v>
      </c>
      <c r="D35" s="47">
        <f>C23</f>
        <v>2874453.5912390477</v>
      </c>
      <c r="E35" s="47">
        <f>D37</f>
        <v>2429515.3711194587</v>
      </c>
      <c r="F35" s="47">
        <f t="shared" ref="F35:J35" si="15">E37</f>
        <v>1926303.2229854851</v>
      </c>
      <c r="G35" s="47">
        <f t="shared" si="15"/>
        <v>1359560.1475449195</v>
      </c>
      <c r="H35" s="47">
        <f t="shared" si="15"/>
        <v>723607.34170869109</v>
      </c>
      <c r="I35" s="47">
        <f t="shared" si="15"/>
        <v>12312.035364564857</v>
      </c>
      <c r="J35" s="47">
        <f t="shared" si="15"/>
        <v>-780947.06377121585</v>
      </c>
      <c r="K35" s="47">
        <f t="shared" ref="K35:BQ35" si="16">J37</f>
        <v>-1663316.8928101785</v>
      </c>
      <c r="L35" s="47">
        <f t="shared" si="16"/>
        <v>-2642509.9122416507</v>
      </c>
      <c r="M35" s="47">
        <f t="shared" si="16"/>
        <v>-3726846.9424921134</v>
      </c>
      <c r="N35" s="47">
        <f t="shared" si="16"/>
        <v>-4925303.1753360368</v>
      </c>
      <c r="O35" s="47">
        <f t="shared" si="16"/>
        <v>-6247557.5927962018</v>
      </c>
      <c r="P35" s="47">
        <f t="shared" si="16"/>
        <v>-7704046.0431140233</v>
      </c>
      <c r="Q35" s="47">
        <f t="shared" si="16"/>
        <v>-9306018.2415427174</v>
      </c>
      <c r="R35" s="47">
        <f t="shared" si="16"/>
        <v>-11065598.983207336</v>
      </c>
      <c r="S35" s="47">
        <f t="shared" si="16"/>
        <v>-12995853.876181321</v>
      </c>
      <c r="T35" s="47">
        <f t="shared" si="16"/>
        <v>-15110859.92535175</v>
      </c>
      <c r="U35" s="47">
        <f t="shared" si="16"/>
        <v>-17425781.321694758</v>
      </c>
      <c r="V35" s="47">
        <f t="shared" si="16"/>
        <v>-19956950.817376513</v>
      </c>
      <c r="W35" s="47">
        <f t="shared" si="16"/>
        <v>-22721957.094760075</v>
      </c>
      <c r="X35" s="47">
        <f t="shared" si="16"/>
        <v>-25739738.567069754</v>
      </c>
      <c r="Y35" s="47">
        <f t="shared" si="16"/>
        <v>-29030684.080287851</v>
      </c>
      <c r="Z35" s="47">
        <f t="shared" si="16"/>
        <v>-32616741.019989401</v>
      </c>
      <c r="AA35" s="47">
        <f t="shared" si="16"/>
        <v>-36521531.363426074</v>
      </c>
      <c r="AB35" s="47">
        <f t="shared" si="16"/>
        <v>-40770476.256429821</v>
      </c>
      <c r="AC35" s="47">
        <f t="shared" si="16"/>
        <v>-45390929.736812428</v>
      </c>
      <c r="AD35" s="47">
        <f t="shared" si="16"/>
        <v>-50412322.271094687</v>
      </c>
      <c r="AE35" s="47">
        <f t="shared" si="16"/>
        <v>-55866314.819829844</v>
      </c>
      <c r="AF35" s="47">
        <f t="shared" si="16"/>
        <v>-61786964.198726662</v>
      </c>
      <c r="AG35" s="47">
        <f t="shared" si="16"/>
        <v>-68210900.558482602</v>
      </c>
      <c r="AH35" s="47">
        <f t="shared" si="16"/>
        <v>-75177517.865979373</v>
      </c>
      <c r="AI35" s="47">
        <f t="shared" si="16"/>
        <v>-82729178.333563432</v>
      </c>
      <c r="AJ35" s="47">
        <f t="shared" si="16"/>
        <v>-90911431.811847225</v>
      </c>
      <c r="AK35" s="47">
        <f t="shared" si="16"/>
        <v>-99773251.235157579</v>
      </c>
      <c r="AL35" s="47">
        <f t="shared" si="16"/>
        <v>-109367285.28778745</v>
      </c>
      <c r="AM35" s="47">
        <f t="shared" si="16"/>
        <v>-119750129.54396144</v>
      </c>
      <c r="AN35" s="47">
        <f t="shared" si="16"/>
        <v>-130982617.42531966</v>
      </c>
      <c r="AO35" s="47">
        <f t="shared" si="16"/>
        <v>-143130132.41720116</v>
      </c>
      <c r="AP35" s="47">
        <f t="shared" si="16"/>
        <v>-156262943.08954588</v>
      </c>
      <c r="AQ35" s="47">
        <f t="shared" si="16"/>
        <v>-170456562.5803417</v>
      </c>
      <c r="AR35" s="47">
        <f t="shared" si="16"/>
        <v>-185792134.31977054</v>
      </c>
      <c r="AS35" s="47">
        <f t="shared" si="16"/>
        <v>-202356845.90214014</v>
      </c>
      <c r="AT35" s="47">
        <f t="shared" si="16"/>
        <v>-220244373.15095705</v>
      </c>
      <c r="AU35" s="47">
        <f t="shared" si="16"/>
        <v>-239555356.57077861</v>
      </c>
      <c r="AV35" s="47">
        <f t="shared" si="16"/>
        <v>-260397912.53849682</v>
      </c>
      <c r="AW35" s="47">
        <f t="shared" si="16"/>
        <v>-282888181.75723892</v>
      </c>
      <c r="AX35" s="47">
        <f t="shared" si="16"/>
        <v>-307150917.67894399</v>
      </c>
      <c r="AY35" s="47">
        <f t="shared" si="16"/>
        <v>-333320117.79779059</v>
      </c>
      <c r="AZ35" s="47">
        <f t="shared" si="16"/>
        <v>-361539700.92696238</v>
      </c>
      <c r="BA35" s="47">
        <f t="shared" si="16"/>
        <v>-391964233.79677367</v>
      </c>
      <c r="BB35" s="47">
        <f t="shared" si="16"/>
        <v>-424759710.55403924</v>
      </c>
      <c r="BC35" s="47">
        <f t="shared" si="16"/>
        <v>-460104389.00194013</v>
      </c>
      <c r="BD35" s="47">
        <f t="shared" si="16"/>
        <v>-498189687.69777656</v>
      </c>
      <c r="BE35" s="47">
        <f t="shared" si="16"/>
        <v>-539221148.32427192</v>
      </c>
      <c r="BF35" s="47">
        <f t="shared" si="16"/>
        <v>-583419468.06994939</v>
      </c>
      <c r="BG35" s="47">
        <f t="shared" si="16"/>
        <v>-631021607.0971086</v>
      </c>
      <c r="BH35" s="47">
        <f t="shared" si="16"/>
        <v>-682281976.54376209</v>
      </c>
      <c r="BI35" s="47">
        <f t="shared" si="16"/>
        <v>-737473712.90033758</v>
      </c>
      <c r="BJ35" s="47">
        <f t="shared" si="16"/>
        <v>-796890045.0249449</v>
      </c>
      <c r="BK35" s="47">
        <f t="shared" si="16"/>
        <v>-860845760.51460886</v>
      </c>
      <c r="BL35" s="47">
        <f t="shared" si="16"/>
        <v>-929678778.63629031</v>
      </c>
      <c r="BM35" s="47">
        <f t="shared" si="16"/>
        <v>-1003751837.5431401</v>
      </c>
      <c r="BN35" s="47">
        <f t="shared" si="16"/>
        <v>-1083454304.060791</v>
      </c>
      <c r="BO35" s="47">
        <f t="shared" si="16"/>
        <v>-1169204114.9283268</v>
      </c>
      <c r="BP35" s="47">
        <f t="shared" si="16"/>
        <v>-1261449859.0218015</v>
      </c>
      <c r="BQ35" s="47">
        <f t="shared" si="16"/>
        <v>-1360673010.7779515</v>
      </c>
    </row>
    <row r="36" spans="2:71" s="45" customFormat="1">
      <c r="C36" s="45" t="s">
        <v>14</v>
      </c>
      <c r="D36" s="47">
        <f>C27</f>
        <v>52671.229399841854</v>
      </c>
      <c r="E36" s="47">
        <f>D36*(1+$C$7)</f>
        <v>54778.078575835527</v>
      </c>
      <c r="F36" s="47">
        <f t="shared" ref="F36:J36" si="17">E36*(1+$C$7)</f>
        <v>56969.20171886895</v>
      </c>
      <c r="G36" s="47">
        <f t="shared" si="17"/>
        <v>59247.969787623711</v>
      </c>
      <c r="H36" s="47">
        <f t="shared" si="17"/>
        <v>61617.888579128659</v>
      </c>
      <c r="I36" s="47">
        <f t="shared" si="17"/>
        <v>64082.604122293807</v>
      </c>
      <c r="J36" s="47">
        <f t="shared" si="17"/>
        <v>66645.908287185564</v>
      </c>
      <c r="K36" s="47">
        <f t="shared" ref="K36:BQ36" si="18">J36*(1+$C$7)</f>
        <v>69311.744618672994</v>
      </c>
      <c r="L36" s="47">
        <f t="shared" si="18"/>
        <v>72084.214403419915</v>
      </c>
      <c r="M36" s="47">
        <f t="shared" si="18"/>
        <v>74967.582979556712</v>
      </c>
      <c r="N36" s="47">
        <f t="shared" si="18"/>
        <v>77966.286298738982</v>
      </c>
      <c r="O36" s="47">
        <f t="shared" si="18"/>
        <v>81084.93775068855</v>
      </c>
      <c r="P36" s="47">
        <f t="shared" si="18"/>
        <v>84328.335260716092</v>
      </c>
      <c r="Q36" s="47">
        <f t="shared" si="18"/>
        <v>87701.468671144743</v>
      </c>
      <c r="R36" s="47">
        <f t="shared" si="18"/>
        <v>91209.527417990539</v>
      </c>
      <c r="S36" s="47">
        <f t="shared" si="18"/>
        <v>94857.908514710158</v>
      </c>
      <c r="T36" s="47">
        <f t="shared" si="18"/>
        <v>98652.224855298569</v>
      </c>
      <c r="U36" s="47">
        <f t="shared" si="18"/>
        <v>102598.31384951051</v>
      </c>
      <c r="V36" s="47">
        <f t="shared" si="18"/>
        <v>106702.24640349094</v>
      </c>
      <c r="W36" s="47">
        <f t="shared" si="18"/>
        <v>110970.33625963058</v>
      </c>
      <c r="X36" s="47">
        <f t="shared" si="18"/>
        <v>115409.14971001582</v>
      </c>
      <c r="Y36" s="47">
        <f t="shared" si="18"/>
        <v>120025.51569841645</v>
      </c>
      <c r="Z36" s="47">
        <f t="shared" si="18"/>
        <v>124826.53632635312</v>
      </c>
      <c r="AA36" s="47">
        <f t="shared" si="18"/>
        <v>129819.59777940725</v>
      </c>
      <c r="AB36" s="47">
        <f t="shared" si="18"/>
        <v>135012.38169058354</v>
      </c>
      <c r="AC36" s="47">
        <f t="shared" si="18"/>
        <v>140412.87695820688</v>
      </c>
      <c r="AD36" s="47">
        <f t="shared" si="18"/>
        <v>146029.39203653517</v>
      </c>
      <c r="AE36" s="47">
        <f t="shared" si="18"/>
        <v>151870.56771799657</v>
      </c>
      <c r="AF36" s="47">
        <f t="shared" si="18"/>
        <v>157945.39042671645</v>
      </c>
      <c r="AG36" s="47">
        <f t="shared" si="18"/>
        <v>164263.20604378512</v>
      </c>
      <c r="AH36" s="47">
        <f t="shared" si="18"/>
        <v>170833.73428553654</v>
      </c>
      <c r="AI36" s="47">
        <f t="shared" si="18"/>
        <v>177667.08365695801</v>
      </c>
      <c r="AJ36" s="47">
        <f t="shared" si="18"/>
        <v>184773.76700323634</v>
      </c>
      <c r="AK36" s="47">
        <f t="shared" si="18"/>
        <v>192164.7176833658</v>
      </c>
      <c r="AL36" s="47">
        <f t="shared" si="18"/>
        <v>199851.30639070045</v>
      </c>
      <c r="AM36" s="47">
        <f t="shared" si="18"/>
        <v>207845.35864632847</v>
      </c>
      <c r="AN36" s="47">
        <f t="shared" si="18"/>
        <v>216159.17299218161</v>
      </c>
      <c r="AO36" s="47">
        <f t="shared" si="18"/>
        <v>224805.53991186889</v>
      </c>
      <c r="AP36" s="47">
        <f t="shared" si="18"/>
        <v>233797.76150834365</v>
      </c>
      <c r="AQ36" s="47">
        <f t="shared" si="18"/>
        <v>243149.6719686774</v>
      </c>
      <c r="AR36" s="47">
        <f t="shared" si="18"/>
        <v>252875.65884742449</v>
      </c>
      <c r="AS36" s="47">
        <f t="shared" si="18"/>
        <v>262990.6852013215</v>
      </c>
      <c r="AT36" s="47">
        <f t="shared" si="18"/>
        <v>273510.31260937435</v>
      </c>
      <c r="AU36" s="47">
        <f t="shared" si="18"/>
        <v>284450.72511374933</v>
      </c>
      <c r="AV36" s="47">
        <f t="shared" si="18"/>
        <v>295828.75411829929</v>
      </c>
      <c r="AW36" s="47">
        <f t="shared" si="18"/>
        <v>307661.9042830313</v>
      </c>
      <c r="AX36" s="47">
        <f t="shared" si="18"/>
        <v>319968.38045435253</v>
      </c>
      <c r="AY36" s="47">
        <f t="shared" si="18"/>
        <v>332767.11567252665</v>
      </c>
      <c r="AZ36" s="47">
        <f t="shared" si="18"/>
        <v>346077.8002994277</v>
      </c>
      <c r="BA36" s="47">
        <f t="shared" si="18"/>
        <v>359920.91231140483</v>
      </c>
      <c r="BB36" s="47">
        <f t="shared" si="18"/>
        <v>374317.74880386103</v>
      </c>
      <c r="BC36" s="47">
        <f t="shared" si="18"/>
        <v>389290.45875601546</v>
      </c>
      <c r="BD36" s="47">
        <f t="shared" si="18"/>
        <v>404862.0771062561</v>
      </c>
      <c r="BE36" s="47">
        <f t="shared" si="18"/>
        <v>421056.56019050634</v>
      </c>
      <c r="BF36" s="47">
        <f t="shared" si="18"/>
        <v>437898.8225981266</v>
      </c>
      <c r="BG36" s="47">
        <f t="shared" si="18"/>
        <v>455414.77550205169</v>
      </c>
      <c r="BH36" s="47">
        <f t="shared" si="18"/>
        <v>473631.36652213376</v>
      </c>
      <c r="BI36" s="47">
        <f t="shared" si="18"/>
        <v>492576.62118301913</v>
      </c>
      <c r="BJ36" s="47">
        <f t="shared" si="18"/>
        <v>512279.68603033992</v>
      </c>
      <c r="BK36" s="47">
        <f t="shared" si="18"/>
        <v>532770.87347155355</v>
      </c>
      <c r="BL36" s="47">
        <f t="shared" si="18"/>
        <v>554081.70841041568</v>
      </c>
      <c r="BM36" s="47">
        <f t="shared" si="18"/>
        <v>576244.97674683237</v>
      </c>
      <c r="BN36" s="47">
        <f t="shared" si="18"/>
        <v>599294.77581670566</v>
      </c>
      <c r="BO36" s="47">
        <f t="shared" si="18"/>
        <v>623266.56684937386</v>
      </c>
      <c r="BP36" s="47">
        <f t="shared" si="18"/>
        <v>648197.22952334885</v>
      </c>
      <c r="BQ36" s="47">
        <f t="shared" si="18"/>
        <v>674125.1187042828</v>
      </c>
    </row>
    <row r="37" spans="2:71" s="45" customFormat="1" ht="17" thickBot="1">
      <c r="C37" s="45" t="s">
        <v>16</v>
      </c>
      <c r="D37" s="47">
        <f>FV($C$9/12,12,D36,-D35)</f>
        <v>2429515.3711194587</v>
      </c>
      <c r="E37" s="47">
        <f>FV($C$9/12,12,E36,-E35)</f>
        <v>1926303.2229854851</v>
      </c>
      <c r="F37" s="47">
        <f t="shared" ref="F37:J37" si="19">FV($C$9/12,12,F36,-F35)</f>
        <v>1359560.1475449195</v>
      </c>
      <c r="G37" s="47">
        <f t="shared" si="19"/>
        <v>723607.34170869109</v>
      </c>
      <c r="H37" s="47">
        <f t="shared" si="19"/>
        <v>12312.035364564857</v>
      </c>
      <c r="I37" s="47">
        <f t="shared" si="19"/>
        <v>-780947.06377121585</v>
      </c>
      <c r="J37" s="47">
        <f t="shared" si="19"/>
        <v>-1663316.8928101785</v>
      </c>
      <c r="K37" s="47">
        <f t="shared" ref="K37" si="20">FV($C$9/12,12,K36,-K35)</f>
        <v>-2642509.9122416507</v>
      </c>
      <c r="L37" s="47">
        <f t="shared" ref="L37" si="21">FV($C$9/12,12,L36,-L35)</f>
        <v>-3726846.9424921134</v>
      </c>
      <c r="M37" s="47">
        <f t="shared" ref="M37" si="22">FV($C$9/12,12,M36,-M35)</f>
        <v>-4925303.1753360368</v>
      </c>
      <c r="N37" s="47">
        <f t="shared" ref="N37:O37" si="23">FV($C$9/12,12,N36,-N35)</f>
        <v>-6247557.5927962018</v>
      </c>
      <c r="O37" s="47">
        <f t="shared" si="23"/>
        <v>-7704046.0431140233</v>
      </c>
      <c r="P37" s="47">
        <f t="shared" ref="P37" si="24">FV($C$9/12,12,P36,-P35)</f>
        <v>-9306018.2415427174</v>
      </c>
      <c r="Q37" s="47">
        <f t="shared" ref="Q37" si="25">FV($C$9/12,12,Q36,-Q35)</f>
        <v>-11065598.983207336</v>
      </c>
      <c r="R37" s="47">
        <f t="shared" ref="R37" si="26">FV($C$9/12,12,R36,-R35)</f>
        <v>-12995853.876181321</v>
      </c>
      <c r="S37" s="47">
        <f t="shared" ref="S37:T37" si="27">FV($C$9/12,12,S36,-S35)</f>
        <v>-15110859.92535175</v>
      </c>
      <c r="T37" s="47">
        <f t="shared" si="27"/>
        <v>-17425781.321694758</v>
      </c>
      <c r="U37" s="47">
        <f t="shared" ref="U37" si="28">FV($C$9/12,12,U36,-U35)</f>
        <v>-19956950.817376513</v>
      </c>
      <c r="V37" s="47">
        <f t="shared" ref="V37" si="29">FV($C$9/12,12,V36,-V35)</f>
        <v>-22721957.094760075</v>
      </c>
      <c r="W37" s="47">
        <f t="shared" ref="W37" si="30">FV($C$9/12,12,W36,-W35)</f>
        <v>-25739738.567069754</v>
      </c>
      <c r="X37" s="47">
        <f t="shared" ref="X37:Y37" si="31">FV($C$9/12,12,X36,-X35)</f>
        <v>-29030684.080287851</v>
      </c>
      <c r="Y37" s="47">
        <f t="shared" si="31"/>
        <v>-32616741.019989401</v>
      </c>
      <c r="Z37" s="47">
        <f t="shared" ref="Z37" si="32">FV($C$9/12,12,Z36,-Z35)</f>
        <v>-36521531.363426074</v>
      </c>
      <c r="AA37" s="47">
        <f t="shared" ref="AA37" si="33">FV($C$9/12,12,AA36,-AA35)</f>
        <v>-40770476.256429821</v>
      </c>
      <c r="AB37" s="47">
        <f t="shared" ref="AB37" si="34">FV($C$9/12,12,AB36,-AB35)</f>
        <v>-45390929.736812428</v>
      </c>
      <c r="AC37" s="47">
        <f t="shared" ref="AC37:AD37" si="35">FV($C$9/12,12,AC36,-AC35)</f>
        <v>-50412322.271094687</v>
      </c>
      <c r="AD37" s="47">
        <f t="shared" si="35"/>
        <v>-55866314.819829844</v>
      </c>
      <c r="AE37" s="47">
        <f t="shared" ref="AE37" si="36">FV($C$9/12,12,AE36,-AE35)</f>
        <v>-61786964.198726662</v>
      </c>
      <c r="AF37" s="47">
        <f t="shared" ref="AF37" si="37">FV($C$9/12,12,AF36,-AF35)</f>
        <v>-68210900.558482602</v>
      </c>
      <c r="AG37" s="47">
        <f t="shared" ref="AG37" si="38">FV($C$9/12,12,AG36,-AG35)</f>
        <v>-75177517.865979373</v>
      </c>
      <c r="AH37" s="47">
        <f t="shared" ref="AH37:AI37" si="39">FV($C$9/12,12,AH36,-AH35)</f>
        <v>-82729178.333563432</v>
      </c>
      <c r="AI37" s="47">
        <f t="shared" si="39"/>
        <v>-90911431.811847225</v>
      </c>
      <c r="AJ37" s="47">
        <f t="shared" ref="AJ37" si="40">FV($C$9/12,12,AJ36,-AJ35)</f>
        <v>-99773251.235157579</v>
      </c>
      <c r="AK37" s="47">
        <f t="shared" ref="AK37" si="41">FV($C$9/12,12,AK36,-AK35)</f>
        <v>-109367285.28778745</v>
      </c>
      <c r="AL37" s="47">
        <f t="shared" ref="AL37" si="42">FV($C$9/12,12,AL36,-AL35)</f>
        <v>-119750129.54396144</v>
      </c>
      <c r="AM37" s="47">
        <f t="shared" ref="AM37:AN37" si="43">FV($C$9/12,12,AM36,-AM35)</f>
        <v>-130982617.42531966</v>
      </c>
      <c r="AN37" s="47">
        <f t="shared" si="43"/>
        <v>-143130132.41720116</v>
      </c>
      <c r="AO37" s="47">
        <f t="shared" ref="AO37" si="44">FV($C$9/12,12,AO36,-AO35)</f>
        <v>-156262943.08954588</v>
      </c>
      <c r="AP37" s="47">
        <f t="shared" ref="AP37" si="45">FV($C$9/12,12,AP36,-AP35)</f>
        <v>-170456562.5803417</v>
      </c>
      <c r="AQ37" s="47">
        <f t="shared" ref="AQ37" si="46">FV($C$9/12,12,AQ36,-AQ35)</f>
        <v>-185792134.31977054</v>
      </c>
      <c r="AR37" s="47">
        <f t="shared" ref="AR37:AS37" si="47">FV($C$9/12,12,AR36,-AR35)</f>
        <v>-202356845.90214014</v>
      </c>
      <c r="AS37" s="47">
        <f t="shared" si="47"/>
        <v>-220244373.15095705</v>
      </c>
      <c r="AT37" s="47">
        <f t="shared" ref="AT37" si="48">FV($C$9/12,12,AT36,-AT35)</f>
        <v>-239555356.57077861</v>
      </c>
      <c r="AU37" s="47">
        <f t="shared" ref="AU37" si="49">FV($C$9/12,12,AU36,-AU35)</f>
        <v>-260397912.53849682</v>
      </c>
      <c r="AV37" s="47">
        <f t="shared" ref="AV37" si="50">FV($C$9/12,12,AV36,-AV35)</f>
        <v>-282888181.75723892</v>
      </c>
      <c r="AW37" s="47">
        <f t="shared" ref="AW37:AX37" si="51">FV($C$9/12,12,AW36,-AW35)</f>
        <v>-307150917.67894399</v>
      </c>
      <c r="AX37" s="47">
        <f t="shared" si="51"/>
        <v>-333320117.79779059</v>
      </c>
      <c r="AY37" s="47">
        <f t="shared" ref="AY37" si="52">FV($C$9/12,12,AY36,-AY35)</f>
        <v>-361539700.92696238</v>
      </c>
      <c r="AZ37" s="47">
        <f t="shared" ref="AZ37" si="53">FV($C$9/12,12,AZ36,-AZ35)</f>
        <v>-391964233.79677367</v>
      </c>
      <c r="BA37" s="47">
        <f t="shared" ref="BA37" si="54">FV($C$9/12,12,BA36,-BA35)</f>
        <v>-424759710.55403924</v>
      </c>
      <c r="BB37" s="47">
        <f t="shared" ref="BB37:BC37" si="55">FV($C$9/12,12,BB36,-BB35)</f>
        <v>-460104389.00194013</v>
      </c>
      <c r="BC37" s="47">
        <f t="shared" si="55"/>
        <v>-498189687.69777656</v>
      </c>
      <c r="BD37" s="47">
        <f t="shared" ref="BD37" si="56">FV($C$9/12,12,BD36,-BD35)</f>
        <v>-539221148.32427192</v>
      </c>
      <c r="BE37" s="47">
        <f t="shared" ref="BE37" si="57">FV($C$9/12,12,BE36,-BE35)</f>
        <v>-583419468.06994939</v>
      </c>
      <c r="BF37" s="47">
        <f t="shared" ref="BF37" si="58">FV($C$9/12,12,BF36,-BF35)</f>
        <v>-631021607.0971086</v>
      </c>
      <c r="BG37" s="47">
        <f t="shared" ref="BG37:BH37" si="59">FV($C$9/12,12,BG36,-BG35)</f>
        <v>-682281976.54376209</v>
      </c>
      <c r="BH37" s="47">
        <f t="shared" si="59"/>
        <v>-737473712.90033758</v>
      </c>
      <c r="BI37" s="47">
        <f t="shared" ref="BI37" si="60">FV($C$9/12,12,BI36,-BI35)</f>
        <v>-796890045.0249449</v>
      </c>
      <c r="BJ37" s="47">
        <f t="shared" ref="BJ37" si="61">FV($C$9/12,12,BJ36,-BJ35)</f>
        <v>-860845760.51460886</v>
      </c>
      <c r="BK37" s="47">
        <f t="shared" ref="BK37" si="62">FV($C$9/12,12,BK36,-BK35)</f>
        <v>-929678778.63629031</v>
      </c>
      <c r="BL37" s="47">
        <f t="shared" ref="BL37:BM37" si="63">FV($C$9/12,12,BL36,-BL35)</f>
        <v>-1003751837.5431401</v>
      </c>
      <c r="BM37" s="47">
        <f t="shared" si="63"/>
        <v>-1083454304.060791</v>
      </c>
      <c r="BN37" s="47">
        <f t="shared" ref="BN37" si="64">FV($C$9/12,12,BN36,-BN35)</f>
        <v>-1169204114.9283268</v>
      </c>
      <c r="BO37" s="47">
        <f t="shared" ref="BO37" si="65">FV($C$9/12,12,BO36,-BO35)</f>
        <v>-1261449859.0218015</v>
      </c>
      <c r="BP37" s="47">
        <f t="shared" ref="BP37" si="66">FV($C$9/12,12,BP36,-BP35)</f>
        <v>-1360673010.7779515</v>
      </c>
      <c r="BQ37" s="47">
        <f t="shared" ref="BQ37" si="67">FV($C$9/12,12,BQ36,-BQ35)</f>
        <v>-1467390325.7754192</v>
      </c>
    </row>
    <row r="38" spans="2:71" s="73" customFormat="1">
      <c r="C38" s="92" t="s">
        <v>21</v>
      </c>
      <c r="D38" s="75">
        <f>IF(D35&gt;0,1,0)</f>
        <v>1</v>
      </c>
      <c r="E38" s="75">
        <f t="shared" ref="E38:BP38" si="68">IF(E35&gt;0,1,0)</f>
        <v>1</v>
      </c>
      <c r="F38" s="75">
        <f t="shared" si="68"/>
        <v>1</v>
      </c>
      <c r="G38" s="75">
        <f t="shared" si="68"/>
        <v>1</v>
      </c>
      <c r="H38" s="75">
        <f t="shared" si="68"/>
        <v>1</v>
      </c>
      <c r="I38" s="75">
        <f t="shared" si="68"/>
        <v>1</v>
      </c>
      <c r="J38" s="75">
        <f t="shared" si="68"/>
        <v>0</v>
      </c>
      <c r="K38" s="75">
        <f t="shared" si="68"/>
        <v>0</v>
      </c>
      <c r="L38" s="75">
        <f t="shared" si="68"/>
        <v>0</v>
      </c>
      <c r="M38" s="75">
        <f t="shared" si="68"/>
        <v>0</v>
      </c>
      <c r="N38" s="75">
        <f t="shared" si="68"/>
        <v>0</v>
      </c>
      <c r="O38" s="75">
        <f t="shared" si="68"/>
        <v>0</v>
      </c>
      <c r="P38" s="75">
        <f t="shared" si="68"/>
        <v>0</v>
      </c>
      <c r="Q38" s="75">
        <f t="shared" si="68"/>
        <v>0</v>
      </c>
      <c r="R38" s="75">
        <f t="shared" si="68"/>
        <v>0</v>
      </c>
      <c r="S38" s="75">
        <f t="shared" si="68"/>
        <v>0</v>
      </c>
      <c r="T38" s="75">
        <f t="shared" si="68"/>
        <v>0</v>
      </c>
      <c r="U38" s="75">
        <f t="shared" si="68"/>
        <v>0</v>
      </c>
      <c r="V38" s="75">
        <f t="shared" si="68"/>
        <v>0</v>
      </c>
      <c r="W38" s="75">
        <f t="shared" si="68"/>
        <v>0</v>
      </c>
      <c r="X38" s="75">
        <f t="shared" si="68"/>
        <v>0</v>
      </c>
      <c r="Y38" s="75">
        <f t="shared" si="68"/>
        <v>0</v>
      </c>
      <c r="Z38" s="75">
        <f t="shared" si="68"/>
        <v>0</v>
      </c>
      <c r="AA38" s="75">
        <f t="shared" si="68"/>
        <v>0</v>
      </c>
      <c r="AB38" s="75">
        <f t="shared" si="68"/>
        <v>0</v>
      </c>
      <c r="AC38" s="75">
        <f t="shared" si="68"/>
        <v>0</v>
      </c>
      <c r="AD38" s="75">
        <f t="shared" si="68"/>
        <v>0</v>
      </c>
      <c r="AE38" s="75">
        <f t="shared" si="68"/>
        <v>0</v>
      </c>
      <c r="AF38" s="75">
        <f t="shared" si="68"/>
        <v>0</v>
      </c>
      <c r="AG38" s="75">
        <f t="shared" si="68"/>
        <v>0</v>
      </c>
      <c r="AH38" s="75">
        <f t="shared" si="68"/>
        <v>0</v>
      </c>
      <c r="AI38" s="75">
        <f t="shared" si="68"/>
        <v>0</v>
      </c>
      <c r="AJ38" s="75">
        <f t="shared" si="68"/>
        <v>0</v>
      </c>
      <c r="AK38" s="75">
        <f t="shared" si="68"/>
        <v>0</v>
      </c>
      <c r="AL38" s="75">
        <f t="shared" si="68"/>
        <v>0</v>
      </c>
      <c r="AM38" s="75">
        <f t="shared" si="68"/>
        <v>0</v>
      </c>
      <c r="AN38" s="75">
        <f t="shared" si="68"/>
        <v>0</v>
      </c>
      <c r="AO38" s="75">
        <f t="shared" si="68"/>
        <v>0</v>
      </c>
      <c r="AP38" s="75">
        <f t="shared" si="68"/>
        <v>0</v>
      </c>
      <c r="AQ38" s="75">
        <f t="shared" si="68"/>
        <v>0</v>
      </c>
      <c r="AR38" s="75">
        <f t="shared" si="68"/>
        <v>0</v>
      </c>
      <c r="AS38" s="75">
        <f t="shared" si="68"/>
        <v>0</v>
      </c>
      <c r="AT38" s="75">
        <f t="shared" si="68"/>
        <v>0</v>
      </c>
      <c r="AU38" s="75">
        <f t="shared" si="68"/>
        <v>0</v>
      </c>
      <c r="AV38" s="75">
        <f t="shared" si="68"/>
        <v>0</v>
      </c>
      <c r="AW38" s="75">
        <f t="shared" si="68"/>
        <v>0</v>
      </c>
      <c r="AX38" s="75">
        <f t="shared" si="68"/>
        <v>0</v>
      </c>
      <c r="AY38" s="75">
        <f t="shared" si="68"/>
        <v>0</v>
      </c>
      <c r="AZ38" s="75">
        <f t="shared" si="68"/>
        <v>0</v>
      </c>
      <c r="BA38" s="75">
        <f t="shared" si="68"/>
        <v>0</v>
      </c>
      <c r="BB38" s="75">
        <f t="shared" si="68"/>
        <v>0</v>
      </c>
      <c r="BC38" s="75">
        <f t="shared" si="68"/>
        <v>0</v>
      </c>
      <c r="BD38" s="75">
        <f t="shared" si="68"/>
        <v>0</v>
      </c>
      <c r="BE38" s="75">
        <f t="shared" si="68"/>
        <v>0</v>
      </c>
      <c r="BF38" s="75">
        <f t="shared" si="68"/>
        <v>0</v>
      </c>
      <c r="BG38" s="75">
        <f t="shared" si="68"/>
        <v>0</v>
      </c>
      <c r="BH38" s="75">
        <f t="shared" si="68"/>
        <v>0</v>
      </c>
      <c r="BI38" s="75">
        <f t="shared" si="68"/>
        <v>0</v>
      </c>
      <c r="BJ38" s="75">
        <f t="shared" si="68"/>
        <v>0</v>
      </c>
      <c r="BK38" s="75">
        <f t="shared" si="68"/>
        <v>0</v>
      </c>
      <c r="BL38" s="75">
        <f t="shared" si="68"/>
        <v>0</v>
      </c>
      <c r="BM38" s="75">
        <f t="shared" si="68"/>
        <v>0</v>
      </c>
      <c r="BN38" s="75">
        <f t="shared" si="68"/>
        <v>0</v>
      </c>
      <c r="BO38" s="75">
        <f t="shared" si="68"/>
        <v>0</v>
      </c>
      <c r="BP38" s="75">
        <f t="shared" si="68"/>
        <v>0</v>
      </c>
      <c r="BQ38" s="75">
        <f t="shared" ref="BQ38" si="69">IF(BQ35&gt;0,1,0)</f>
        <v>0</v>
      </c>
    </row>
    <row r="39" spans="2:71" s="73" customFormat="1" ht="17" thickBot="1">
      <c r="C39" s="93">
        <f>SUM(D38:BQ38)</f>
        <v>6</v>
      </c>
    </row>
    <row r="40" spans="2:71" s="73" customFormat="1">
      <c r="C40" s="73" t="s">
        <v>18</v>
      </c>
      <c r="D40" s="73">
        <f>D34</f>
        <v>66</v>
      </c>
      <c r="E40" s="73">
        <f t="shared" ref="E40:X40" si="70">E34</f>
        <v>67</v>
      </c>
      <c r="F40" s="73">
        <f t="shared" si="70"/>
        <v>68</v>
      </c>
      <c r="G40" s="73">
        <f t="shared" si="70"/>
        <v>69</v>
      </c>
      <c r="H40" s="73">
        <f t="shared" si="70"/>
        <v>70</v>
      </c>
      <c r="I40" s="73">
        <f t="shared" si="70"/>
        <v>71</v>
      </c>
      <c r="J40" s="73">
        <f t="shared" si="70"/>
        <v>72</v>
      </c>
      <c r="K40" s="73">
        <f t="shared" si="70"/>
        <v>73</v>
      </c>
      <c r="L40" s="73">
        <f t="shared" si="70"/>
        <v>74</v>
      </c>
      <c r="M40" s="73">
        <f t="shared" si="70"/>
        <v>75</v>
      </c>
      <c r="N40" s="73">
        <f t="shared" si="70"/>
        <v>76</v>
      </c>
      <c r="O40" s="73">
        <f t="shared" si="70"/>
        <v>77</v>
      </c>
      <c r="P40" s="73">
        <f t="shared" si="70"/>
        <v>78</v>
      </c>
      <c r="Q40" s="73">
        <f t="shared" si="70"/>
        <v>79</v>
      </c>
      <c r="R40" s="73">
        <f t="shared" si="70"/>
        <v>80</v>
      </c>
      <c r="S40" s="73">
        <f t="shared" si="70"/>
        <v>81</v>
      </c>
      <c r="T40" s="73">
        <f t="shared" si="70"/>
        <v>82</v>
      </c>
      <c r="U40" s="73">
        <f t="shared" si="70"/>
        <v>83</v>
      </c>
      <c r="V40" s="73">
        <f t="shared" si="70"/>
        <v>84</v>
      </c>
      <c r="W40" s="73">
        <f t="shared" si="70"/>
        <v>85</v>
      </c>
      <c r="X40" s="73">
        <f t="shared" si="70"/>
        <v>86</v>
      </c>
      <c r="Y40" s="73">
        <f t="shared" ref="Y40:AH40" si="71">Y34</f>
        <v>87</v>
      </c>
      <c r="Z40" s="73">
        <f t="shared" si="71"/>
        <v>88</v>
      </c>
      <c r="AA40" s="73">
        <f t="shared" si="71"/>
        <v>89</v>
      </c>
      <c r="AB40" s="73">
        <f t="shared" si="71"/>
        <v>90</v>
      </c>
      <c r="AC40" s="73">
        <f t="shared" si="71"/>
        <v>91</v>
      </c>
      <c r="AD40" s="73">
        <f t="shared" si="71"/>
        <v>92</v>
      </c>
      <c r="AE40" s="73">
        <f t="shared" si="71"/>
        <v>93</v>
      </c>
      <c r="AF40" s="73">
        <f t="shared" si="71"/>
        <v>94</v>
      </c>
      <c r="AG40" s="73">
        <f t="shared" si="71"/>
        <v>95</v>
      </c>
      <c r="AH40" s="73">
        <f t="shared" si="71"/>
        <v>96</v>
      </c>
    </row>
    <row r="41" spans="2:71" s="45" customFormat="1">
      <c r="C41" s="45" t="s">
        <v>19</v>
      </c>
      <c r="D41" s="47">
        <f>IF(D35&gt;0,D35,0)</f>
        <v>2874453.5912390477</v>
      </c>
      <c r="E41" s="47">
        <f>IF(E35&gt;0,E35,0)</f>
        <v>2429515.3711194587</v>
      </c>
      <c r="F41" s="47">
        <f t="shared" ref="F41:X41" si="72">IF(F35&gt;0,F35,0)</f>
        <v>1926303.2229854851</v>
      </c>
      <c r="G41" s="47">
        <f t="shared" si="72"/>
        <v>1359560.1475449195</v>
      </c>
      <c r="H41" s="47">
        <f t="shared" si="72"/>
        <v>723607.34170869109</v>
      </c>
      <c r="I41" s="47">
        <f t="shared" si="72"/>
        <v>12312.035364564857</v>
      </c>
      <c r="J41" s="47">
        <f t="shared" si="72"/>
        <v>0</v>
      </c>
      <c r="K41" s="47">
        <f t="shared" si="72"/>
        <v>0</v>
      </c>
      <c r="L41" s="47">
        <f t="shared" si="72"/>
        <v>0</v>
      </c>
      <c r="M41" s="47">
        <f t="shared" si="72"/>
        <v>0</v>
      </c>
      <c r="N41" s="47">
        <f t="shared" si="72"/>
        <v>0</v>
      </c>
      <c r="O41" s="47">
        <f t="shared" si="72"/>
        <v>0</v>
      </c>
      <c r="P41" s="47">
        <f t="shared" si="72"/>
        <v>0</v>
      </c>
      <c r="Q41" s="47">
        <f t="shared" si="72"/>
        <v>0</v>
      </c>
      <c r="R41" s="47">
        <f t="shared" si="72"/>
        <v>0</v>
      </c>
      <c r="S41" s="47">
        <f t="shared" si="72"/>
        <v>0</v>
      </c>
      <c r="T41" s="47">
        <f t="shared" si="72"/>
        <v>0</v>
      </c>
      <c r="U41" s="47">
        <f t="shared" si="72"/>
        <v>0</v>
      </c>
      <c r="V41" s="47">
        <f t="shared" si="72"/>
        <v>0</v>
      </c>
      <c r="W41" s="47">
        <f t="shared" si="72"/>
        <v>0</v>
      </c>
      <c r="X41" s="47">
        <f t="shared" si="72"/>
        <v>0</v>
      </c>
      <c r="Y41" s="47">
        <f t="shared" ref="Y41:AH41" si="73">IF(Y35&gt;0,Y35,0)</f>
        <v>0</v>
      </c>
      <c r="Z41" s="47">
        <f t="shared" si="73"/>
        <v>0</v>
      </c>
      <c r="AA41" s="47">
        <f t="shared" si="73"/>
        <v>0</v>
      </c>
      <c r="AB41" s="47">
        <f t="shared" si="73"/>
        <v>0</v>
      </c>
      <c r="AC41" s="47">
        <f t="shared" si="73"/>
        <v>0</v>
      </c>
      <c r="AD41" s="47">
        <f t="shared" si="73"/>
        <v>0</v>
      </c>
      <c r="AE41" s="47">
        <f t="shared" si="73"/>
        <v>0</v>
      </c>
      <c r="AF41" s="47">
        <f t="shared" si="73"/>
        <v>0</v>
      </c>
      <c r="AG41" s="47">
        <f t="shared" si="73"/>
        <v>0</v>
      </c>
      <c r="AH41" s="47">
        <f t="shared" si="73"/>
        <v>0</v>
      </c>
    </row>
    <row r="42" spans="2:71" s="45" customFormat="1">
      <c r="C42" s="45" t="s">
        <v>20</v>
      </c>
      <c r="D42" s="47">
        <f>IF(D41&gt;0,D36*12,0)</f>
        <v>632054.75279810221</v>
      </c>
      <c r="E42" s="47">
        <f t="shared" ref="E42:X42" si="74">IF(E41&gt;0,E36*12,0)</f>
        <v>657336.94291002629</v>
      </c>
      <c r="F42" s="47">
        <f t="shared" si="74"/>
        <v>683630.4206264274</v>
      </c>
      <c r="G42" s="47">
        <f t="shared" si="74"/>
        <v>710975.63745148457</v>
      </c>
      <c r="H42" s="47">
        <f t="shared" si="74"/>
        <v>739414.66294954391</v>
      </c>
      <c r="I42" s="47">
        <f t="shared" si="74"/>
        <v>768991.24946752563</v>
      </c>
      <c r="J42" s="47">
        <f t="shared" si="74"/>
        <v>0</v>
      </c>
      <c r="K42" s="47">
        <f t="shared" si="74"/>
        <v>0</v>
      </c>
      <c r="L42" s="47">
        <f t="shared" si="74"/>
        <v>0</v>
      </c>
      <c r="M42" s="47">
        <f t="shared" si="74"/>
        <v>0</v>
      </c>
      <c r="N42" s="47">
        <f t="shared" si="74"/>
        <v>0</v>
      </c>
      <c r="O42" s="47">
        <f t="shared" si="74"/>
        <v>0</v>
      </c>
      <c r="P42" s="47">
        <f t="shared" si="74"/>
        <v>0</v>
      </c>
      <c r="Q42" s="47">
        <f t="shared" si="74"/>
        <v>0</v>
      </c>
      <c r="R42" s="47">
        <f t="shared" si="74"/>
        <v>0</v>
      </c>
      <c r="S42" s="47">
        <f t="shared" si="74"/>
        <v>0</v>
      </c>
      <c r="T42" s="47">
        <f t="shared" si="74"/>
        <v>0</v>
      </c>
      <c r="U42" s="47">
        <f t="shared" si="74"/>
        <v>0</v>
      </c>
      <c r="V42" s="47">
        <f t="shared" si="74"/>
        <v>0</v>
      </c>
      <c r="W42" s="47">
        <f t="shared" si="74"/>
        <v>0</v>
      </c>
      <c r="X42" s="47">
        <f t="shared" si="74"/>
        <v>0</v>
      </c>
      <c r="Y42" s="47">
        <f t="shared" ref="Y42:AH42" si="75">IF(Y41&gt;0,Y36*12,0)</f>
        <v>0</v>
      </c>
      <c r="Z42" s="47">
        <f t="shared" si="75"/>
        <v>0</v>
      </c>
      <c r="AA42" s="47">
        <f t="shared" si="75"/>
        <v>0</v>
      </c>
      <c r="AB42" s="47">
        <f t="shared" si="75"/>
        <v>0</v>
      </c>
      <c r="AC42" s="47">
        <f t="shared" si="75"/>
        <v>0</v>
      </c>
      <c r="AD42" s="47">
        <f t="shared" si="75"/>
        <v>0</v>
      </c>
      <c r="AE42" s="47">
        <f t="shared" si="75"/>
        <v>0</v>
      </c>
      <c r="AF42" s="47">
        <f t="shared" si="75"/>
        <v>0</v>
      </c>
      <c r="AG42" s="47">
        <f t="shared" si="75"/>
        <v>0</v>
      </c>
      <c r="AH42" s="47">
        <f t="shared" si="75"/>
        <v>0</v>
      </c>
    </row>
    <row r="43" spans="2:71" s="45" customFormat="1"/>
    <row r="44" spans="2:71" s="73" customFormat="1">
      <c r="D44" s="73">
        <f>D40</f>
        <v>66</v>
      </c>
      <c r="E44" s="73">
        <f t="shared" ref="E44:AG44" si="76">E40</f>
        <v>67</v>
      </c>
      <c r="F44" s="73">
        <f t="shared" si="76"/>
        <v>68</v>
      </c>
      <c r="G44" s="73">
        <f t="shared" si="76"/>
        <v>69</v>
      </c>
      <c r="H44" s="73">
        <f t="shared" si="76"/>
        <v>70</v>
      </c>
      <c r="I44" s="73">
        <f t="shared" si="76"/>
        <v>71</v>
      </c>
      <c r="J44" s="73">
        <f t="shared" si="76"/>
        <v>72</v>
      </c>
      <c r="K44" s="73">
        <f t="shared" si="76"/>
        <v>73</v>
      </c>
      <c r="L44" s="73">
        <f t="shared" si="76"/>
        <v>74</v>
      </c>
      <c r="M44" s="73">
        <f t="shared" si="76"/>
        <v>75</v>
      </c>
      <c r="N44" s="73">
        <f t="shared" si="76"/>
        <v>76</v>
      </c>
      <c r="O44" s="73">
        <f t="shared" si="76"/>
        <v>77</v>
      </c>
      <c r="P44" s="73">
        <f t="shared" si="76"/>
        <v>78</v>
      </c>
      <c r="Q44" s="73">
        <f t="shared" si="76"/>
        <v>79</v>
      </c>
      <c r="R44" s="73">
        <f t="shared" si="76"/>
        <v>80</v>
      </c>
      <c r="S44" s="73">
        <f t="shared" si="76"/>
        <v>81</v>
      </c>
      <c r="T44" s="73">
        <f t="shared" si="76"/>
        <v>82</v>
      </c>
      <c r="U44" s="73">
        <f t="shared" si="76"/>
        <v>83</v>
      </c>
      <c r="V44" s="73">
        <f t="shared" si="76"/>
        <v>84</v>
      </c>
      <c r="W44" s="73">
        <f t="shared" si="76"/>
        <v>85</v>
      </c>
      <c r="X44" s="73">
        <f t="shared" si="76"/>
        <v>86</v>
      </c>
      <c r="Y44" s="73">
        <f t="shared" si="76"/>
        <v>87</v>
      </c>
      <c r="Z44" s="73">
        <f t="shared" si="76"/>
        <v>88</v>
      </c>
      <c r="AA44" s="73">
        <f t="shared" si="76"/>
        <v>89</v>
      </c>
      <c r="AB44" s="73">
        <f t="shared" si="76"/>
        <v>90</v>
      </c>
      <c r="AC44" s="73">
        <f t="shared" si="76"/>
        <v>91</v>
      </c>
      <c r="AD44" s="73">
        <f t="shared" si="76"/>
        <v>92</v>
      </c>
      <c r="AE44" s="73">
        <f t="shared" si="76"/>
        <v>93</v>
      </c>
      <c r="AF44" s="73">
        <f t="shared" si="76"/>
        <v>94</v>
      </c>
      <c r="AG44" s="73">
        <f t="shared" si="76"/>
        <v>95</v>
      </c>
      <c r="AH44" s="73">
        <f t="shared" ref="AH44:AU44" si="77">AH40</f>
        <v>96</v>
      </c>
      <c r="AI44" s="73">
        <f t="shared" si="77"/>
        <v>0</v>
      </c>
      <c r="AJ44" s="73">
        <f t="shared" si="77"/>
        <v>0</v>
      </c>
      <c r="AK44" s="73">
        <f t="shared" si="77"/>
        <v>0</v>
      </c>
      <c r="AL44" s="73">
        <f t="shared" si="77"/>
        <v>0</v>
      </c>
      <c r="AM44" s="73">
        <f t="shared" si="77"/>
        <v>0</v>
      </c>
      <c r="AN44" s="73">
        <f t="shared" si="77"/>
        <v>0</v>
      </c>
      <c r="AO44" s="73">
        <f t="shared" si="77"/>
        <v>0</v>
      </c>
      <c r="AP44" s="73">
        <f t="shared" si="77"/>
        <v>0</v>
      </c>
      <c r="AQ44" s="73">
        <f t="shared" si="77"/>
        <v>0</v>
      </c>
      <c r="AR44" s="73">
        <f t="shared" si="77"/>
        <v>0</v>
      </c>
      <c r="AS44" s="73">
        <f t="shared" si="77"/>
        <v>0</v>
      </c>
      <c r="AT44" s="73">
        <f t="shared" si="77"/>
        <v>0</v>
      </c>
      <c r="AU44" s="73">
        <f t="shared" si="77"/>
        <v>0</v>
      </c>
    </row>
    <row r="45" spans="2:71" s="45" customFormat="1">
      <c r="C45" s="45" t="s">
        <v>57</v>
      </c>
      <c r="D45" s="45">
        <f>D41*17.5%</f>
        <v>503029.37846683332</v>
      </c>
      <c r="E45" s="45">
        <f t="shared" ref="E45:AG45" si="78">E41*17.5%</f>
        <v>425165.18994590524</v>
      </c>
      <c r="F45" s="45">
        <f t="shared" si="78"/>
        <v>337103.06402245985</v>
      </c>
      <c r="G45" s="45">
        <f t="shared" si="78"/>
        <v>237923.0258203609</v>
      </c>
      <c r="H45" s="45">
        <f t="shared" si="78"/>
        <v>126631.28479902093</v>
      </c>
      <c r="I45" s="45">
        <f t="shared" si="78"/>
        <v>2154.6061887988499</v>
      </c>
      <c r="J45" s="45">
        <f t="shared" si="78"/>
        <v>0</v>
      </c>
      <c r="K45" s="45">
        <f t="shared" si="78"/>
        <v>0</v>
      </c>
      <c r="L45" s="45">
        <f t="shared" si="78"/>
        <v>0</v>
      </c>
      <c r="M45" s="45">
        <f t="shared" si="78"/>
        <v>0</v>
      </c>
      <c r="N45" s="45">
        <f t="shared" si="78"/>
        <v>0</v>
      </c>
      <c r="O45" s="45">
        <f t="shared" si="78"/>
        <v>0</v>
      </c>
      <c r="P45" s="45">
        <f t="shared" si="78"/>
        <v>0</v>
      </c>
      <c r="Q45" s="45">
        <f t="shared" si="78"/>
        <v>0</v>
      </c>
      <c r="R45" s="45">
        <f t="shared" si="78"/>
        <v>0</v>
      </c>
      <c r="S45" s="45">
        <f t="shared" si="78"/>
        <v>0</v>
      </c>
      <c r="T45" s="45">
        <f t="shared" si="78"/>
        <v>0</v>
      </c>
      <c r="U45" s="45">
        <f t="shared" si="78"/>
        <v>0</v>
      </c>
      <c r="V45" s="45">
        <f t="shared" si="78"/>
        <v>0</v>
      </c>
      <c r="W45" s="45">
        <f t="shared" si="78"/>
        <v>0</v>
      </c>
      <c r="X45" s="45">
        <f t="shared" si="78"/>
        <v>0</v>
      </c>
      <c r="Y45" s="45">
        <f t="shared" si="78"/>
        <v>0</v>
      </c>
      <c r="Z45" s="45">
        <f t="shared" si="78"/>
        <v>0</v>
      </c>
      <c r="AA45" s="45">
        <f t="shared" si="78"/>
        <v>0</v>
      </c>
      <c r="AB45" s="45">
        <f t="shared" si="78"/>
        <v>0</v>
      </c>
      <c r="AC45" s="45">
        <f t="shared" si="78"/>
        <v>0</v>
      </c>
      <c r="AD45" s="45">
        <f t="shared" si="78"/>
        <v>0</v>
      </c>
      <c r="AE45" s="45">
        <f t="shared" si="78"/>
        <v>0</v>
      </c>
      <c r="AF45" s="45">
        <f t="shared" si="78"/>
        <v>0</v>
      </c>
      <c r="AG45" s="45">
        <f t="shared" si="78"/>
        <v>0</v>
      </c>
      <c r="AH45" s="45">
        <f t="shared" ref="AH45:AU45" si="79">AH41*17.5%</f>
        <v>0</v>
      </c>
      <c r="AI45" s="45">
        <f t="shared" si="79"/>
        <v>0</v>
      </c>
      <c r="AJ45" s="45">
        <f t="shared" si="79"/>
        <v>0</v>
      </c>
      <c r="AK45" s="45">
        <f t="shared" si="79"/>
        <v>0</v>
      </c>
      <c r="AL45" s="45">
        <f t="shared" si="79"/>
        <v>0</v>
      </c>
      <c r="AM45" s="45">
        <f t="shared" si="79"/>
        <v>0</v>
      </c>
      <c r="AN45" s="45">
        <f t="shared" si="79"/>
        <v>0</v>
      </c>
      <c r="AO45" s="45">
        <f t="shared" si="79"/>
        <v>0</v>
      </c>
      <c r="AP45" s="45">
        <f t="shared" si="79"/>
        <v>0</v>
      </c>
      <c r="AQ45" s="45">
        <f t="shared" si="79"/>
        <v>0</v>
      </c>
      <c r="AR45" s="45">
        <f t="shared" si="79"/>
        <v>0</v>
      </c>
      <c r="AS45" s="45">
        <f t="shared" si="79"/>
        <v>0</v>
      </c>
      <c r="AT45" s="45">
        <f t="shared" si="79"/>
        <v>0</v>
      </c>
      <c r="AU45" s="45">
        <f t="shared" si="79"/>
        <v>0</v>
      </c>
    </row>
    <row r="46" spans="2:71" s="45" customFormat="1">
      <c r="C46" s="45" t="s">
        <v>9</v>
      </c>
      <c r="D46" s="45">
        <f>D42</f>
        <v>632054.75279810221</v>
      </c>
      <c r="E46" s="45">
        <f t="shared" ref="E46:AG46" si="80">E42</f>
        <v>657336.94291002629</v>
      </c>
      <c r="F46" s="45">
        <f t="shared" si="80"/>
        <v>683630.4206264274</v>
      </c>
      <c r="G46" s="45">
        <f t="shared" si="80"/>
        <v>710975.63745148457</v>
      </c>
      <c r="H46" s="45">
        <f t="shared" si="80"/>
        <v>739414.66294954391</v>
      </c>
      <c r="I46" s="45">
        <f t="shared" si="80"/>
        <v>768991.24946752563</v>
      </c>
      <c r="J46" s="45">
        <f t="shared" si="80"/>
        <v>0</v>
      </c>
      <c r="K46" s="45">
        <f t="shared" si="80"/>
        <v>0</v>
      </c>
      <c r="L46" s="45">
        <f t="shared" si="80"/>
        <v>0</v>
      </c>
      <c r="M46" s="45">
        <f t="shared" si="80"/>
        <v>0</v>
      </c>
      <c r="N46" s="45">
        <f t="shared" si="80"/>
        <v>0</v>
      </c>
      <c r="O46" s="45">
        <f t="shared" si="80"/>
        <v>0</v>
      </c>
      <c r="P46" s="45">
        <f t="shared" si="80"/>
        <v>0</v>
      </c>
      <c r="Q46" s="45">
        <f t="shared" si="80"/>
        <v>0</v>
      </c>
      <c r="R46" s="45">
        <f t="shared" si="80"/>
        <v>0</v>
      </c>
      <c r="S46" s="45">
        <f t="shared" si="80"/>
        <v>0</v>
      </c>
      <c r="T46" s="45">
        <f t="shared" si="80"/>
        <v>0</v>
      </c>
      <c r="U46" s="45">
        <f t="shared" si="80"/>
        <v>0</v>
      </c>
      <c r="V46" s="45">
        <f t="shared" si="80"/>
        <v>0</v>
      </c>
      <c r="W46" s="45">
        <f t="shared" si="80"/>
        <v>0</v>
      </c>
      <c r="X46" s="45">
        <f t="shared" si="80"/>
        <v>0</v>
      </c>
      <c r="Y46" s="45">
        <f t="shared" si="80"/>
        <v>0</v>
      </c>
      <c r="Z46" s="45">
        <f t="shared" si="80"/>
        <v>0</v>
      </c>
      <c r="AA46" s="45">
        <f t="shared" si="80"/>
        <v>0</v>
      </c>
      <c r="AB46" s="45">
        <f t="shared" si="80"/>
        <v>0</v>
      </c>
      <c r="AC46" s="45">
        <f t="shared" si="80"/>
        <v>0</v>
      </c>
      <c r="AD46" s="45">
        <f t="shared" si="80"/>
        <v>0</v>
      </c>
      <c r="AE46" s="45">
        <f t="shared" si="80"/>
        <v>0</v>
      </c>
      <c r="AF46" s="45">
        <f t="shared" si="80"/>
        <v>0</v>
      </c>
      <c r="AG46" s="45">
        <f t="shared" si="80"/>
        <v>0</v>
      </c>
      <c r="AH46" s="45">
        <f t="shared" ref="AH46:AU46" si="81">AH42</f>
        <v>0</v>
      </c>
      <c r="AI46" s="45">
        <f t="shared" si="81"/>
        <v>0</v>
      </c>
      <c r="AJ46" s="45">
        <f t="shared" si="81"/>
        <v>0</v>
      </c>
      <c r="AK46" s="45">
        <f t="shared" si="81"/>
        <v>0</v>
      </c>
      <c r="AL46" s="45">
        <f t="shared" si="81"/>
        <v>0</v>
      </c>
      <c r="AM46" s="45">
        <f t="shared" si="81"/>
        <v>0</v>
      </c>
      <c r="AN46" s="45">
        <f t="shared" si="81"/>
        <v>0</v>
      </c>
      <c r="AO46" s="45">
        <f t="shared" si="81"/>
        <v>0</v>
      </c>
      <c r="AP46" s="45">
        <f t="shared" si="81"/>
        <v>0</v>
      </c>
      <c r="AQ46" s="45">
        <f t="shared" si="81"/>
        <v>0</v>
      </c>
      <c r="AR46" s="45">
        <f t="shared" si="81"/>
        <v>0</v>
      </c>
      <c r="AS46" s="45">
        <f t="shared" si="81"/>
        <v>0</v>
      </c>
      <c r="AT46" s="45">
        <f t="shared" si="81"/>
        <v>0</v>
      </c>
      <c r="AU46" s="45">
        <f t="shared" si="81"/>
        <v>0</v>
      </c>
    </row>
    <row r="47" spans="2:71" s="45" customFormat="1">
      <c r="C47" s="45" t="s">
        <v>14</v>
      </c>
      <c r="D47" s="45">
        <f>MIN(D45,D46)</f>
        <v>503029.37846683332</v>
      </c>
      <c r="E47" s="45">
        <f t="shared" ref="E47:AG47" si="82">MIN(E45,E46)</f>
        <v>425165.18994590524</v>
      </c>
      <c r="F47" s="45">
        <f t="shared" si="82"/>
        <v>337103.06402245985</v>
      </c>
      <c r="G47" s="45">
        <f t="shared" si="82"/>
        <v>237923.0258203609</v>
      </c>
      <c r="H47" s="45">
        <f t="shared" si="82"/>
        <v>126631.28479902093</v>
      </c>
      <c r="I47" s="45">
        <f t="shared" si="82"/>
        <v>2154.6061887988499</v>
      </c>
      <c r="J47" s="45">
        <f t="shared" si="82"/>
        <v>0</v>
      </c>
      <c r="K47" s="45">
        <f t="shared" si="82"/>
        <v>0</v>
      </c>
      <c r="L47" s="45">
        <f t="shared" si="82"/>
        <v>0</v>
      </c>
      <c r="M47" s="45">
        <f t="shared" si="82"/>
        <v>0</v>
      </c>
      <c r="N47" s="45">
        <f t="shared" si="82"/>
        <v>0</v>
      </c>
      <c r="O47" s="45">
        <f t="shared" si="82"/>
        <v>0</v>
      </c>
      <c r="P47" s="45">
        <f t="shared" si="82"/>
        <v>0</v>
      </c>
      <c r="Q47" s="45">
        <f t="shared" si="82"/>
        <v>0</v>
      </c>
      <c r="R47" s="45">
        <f t="shared" si="82"/>
        <v>0</v>
      </c>
      <c r="S47" s="45">
        <f t="shared" si="82"/>
        <v>0</v>
      </c>
      <c r="T47" s="45">
        <f t="shared" si="82"/>
        <v>0</v>
      </c>
      <c r="U47" s="45">
        <f t="shared" si="82"/>
        <v>0</v>
      </c>
      <c r="V47" s="45">
        <f t="shared" si="82"/>
        <v>0</v>
      </c>
      <c r="W47" s="45">
        <f t="shared" si="82"/>
        <v>0</v>
      </c>
      <c r="X47" s="45">
        <f t="shared" si="82"/>
        <v>0</v>
      </c>
      <c r="Y47" s="45">
        <f t="shared" si="82"/>
        <v>0</v>
      </c>
      <c r="Z47" s="45">
        <f t="shared" si="82"/>
        <v>0</v>
      </c>
      <c r="AA47" s="45">
        <f t="shared" si="82"/>
        <v>0</v>
      </c>
      <c r="AB47" s="45">
        <f t="shared" si="82"/>
        <v>0</v>
      </c>
      <c r="AC47" s="45">
        <f t="shared" si="82"/>
        <v>0</v>
      </c>
      <c r="AD47" s="45">
        <f t="shared" si="82"/>
        <v>0</v>
      </c>
      <c r="AE47" s="45">
        <f t="shared" si="82"/>
        <v>0</v>
      </c>
      <c r="AF47" s="45">
        <f t="shared" si="82"/>
        <v>0</v>
      </c>
      <c r="AG47" s="45">
        <f t="shared" si="82"/>
        <v>0</v>
      </c>
      <c r="AH47" s="45">
        <f t="shared" ref="AH47:AU47" si="83">MIN(AH45,AH46)</f>
        <v>0</v>
      </c>
      <c r="AI47" s="45">
        <f t="shared" si="83"/>
        <v>0</v>
      </c>
      <c r="AJ47" s="45">
        <f t="shared" si="83"/>
        <v>0</v>
      </c>
      <c r="AK47" s="45">
        <f t="shared" si="83"/>
        <v>0</v>
      </c>
      <c r="AL47" s="45">
        <f t="shared" si="83"/>
        <v>0</v>
      </c>
      <c r="AM47" s="45">
        <f t="shared" si="83"/>
        <v>0</v>
      </c>
      <c r="AN47" s="45">
        <f t="shared" si="83"/>
        <v>0</v>
      </c>
      <c r="AO47" s="45">
        <f t="shared" si="83"/>
        <v>0</v>
      </c>
      <c r="AP47" s="45">
        <f t="shared" si="83"/>
        <v>0</v>
      </c>
      <c r="AQ47" s="45">
        <f t="shared" si="83"/>
        <v>0</v>
      </c>
      <c r="AR47" s="45">
        <f t="shared" si="83"/>
        <v>0</v>
      </c>
      <c r="AS47" s="45">
        <f t="shared" si="83"/>
        <v>0</v>
      </c>
      <c r="AT47" s="45">
        <f t="shared" si="83"/>
        <v>0</v>
      </c>
      <c r="AU47" s="45">
        <f t="shared" si="83"/>
        <v>0</v>
      </c>
    </row>
    <row r="48" spans="2:71" s="45" customFormat="1"/>
    <row r="49" spans="3:47" s="73" customFormat="1">
      <c r="C49" s="73" t="b">
        <v>1</v>
      </c>
      <c r="D49" s="73">
        <f>IF(D54=D55,1,0)</f>
        <v>0</v>
      </c>
      <c r="E49" s="73">
        <f t="shared" ref="E49:AU49" si="84">IF(E54=E55,1,0)</f>
        <v>0</v>
      </c>
      <c r="F49" s="73">
        <f t="shared" si="84"/>
        <v>0</v>
      </c>
      <c r="G49" s="73">
        <f t="shared" si="84"/>
        <v>0</v>
      </c>
      <c r="H49" s="73">
        <f t="shared" si="84"/>
        <v>0</v>
      </c>
      <c r="I49" s="73">
        <f t="shared" si="84"/>
        <v>0</v>
      </c>
      <c r="J49" s="73">
        <f t="shared" si="84"/>
        <v>0</v>
      </c>
      <c r="K49" s="73">
        <f t="shared" si="84"/>
        <v>0</v>
      </c>
      <c r="L49" s="73">
        <f t="shared" si="84"/>
        <v>0</v>
      </c>
      <c r="M49" s="73">
        <f t="shared" si="84"/>
        <v>0</v>
      </c>
      <c r="N49" s="73">
        <f t="shared" si="84"/>
        <v>0</v>
      </c>
      <c r="O49" s="73">
        <f t="shared" si="84"/>
        <v>0</v>
      </c>
      <c r="P49" s="73">
        <f t="shared" si="84"/>
        <v>0</v>
      </c>
      <c r="Q49" s="73">
        <f t="shared" si="84"/>
        <v>0</v>
      </c>
      <c r="R49" s="73">
        <f t="shared" si="84"/>
        <v>0</v>
      </c>
      <c r="S49" s="73">
        <f t="shared" si="84"/>
        <v>0</v>
      </c>
      <c r="T49" s="73">
        <f t="shared" si="84"/>
        <v>0</v>
      </c>
      <c r="U49" s="73">
        <f t="shared" si="84"/>
        <v>0</v>
      </c>
      <c r="V49" s="73">
        <f t="shared" si="84"/>
        <v>0</v>
      </c>
      <c r="W49" s="73">
        <f t="shared" si="84"/>
        <v>0</v>
      </c>
      <c r="X49" s="73">
        <f t="shared" si="84"/>
        <v>0</v>
      </c>
      <c r="Y49" s="73">
        <f t="shared" si="84"/>
        <v>0</v>
      </c>
      <c r="Z49" s="73">
        <f t="shared" si="84"/>
        <v>0</v>
      </c>
      <c r="AA49" s="73">
        <f t="shared" si="84"/>
        <v>0</v>
      </c>
      <c r="AB49" s="73">
        <f t="shared" si="84"/>
        <v>0</v>
      </c>
      <c r="AC49" s="73">
        <f t="shared" si="84"/>
        <v>0</v>
      </c>
      <c r="AD49" s="73">
        <f t="shared" si="84"/>
        <v>0</v>
      </c>
      <c r="AE49" s="73">
        <f t="shared" si="84"/>
        <v>0</v>
      </c>
      <c r="AF49" s="73">
        <f t="shared" si="84"/>
        <v>0</v>
      </c>
      <c r="AG49" s="73">
        <f t="shared" si="84"/>
        <v>0</v>
      </c>
      <c r="AH49" s="73">
        <f t="shared" si="84"/>
        <v>0</v>
      </c>
      <c r="AI49" s="73">
        <f t="shared" si="84"/>
        <v>0</v>
      </c>
      <c r="AJ49" s="73">
        <f t="shared" si="84"/>
        <v>0</v>
      </c>
      <c r="AK49" s="73">
        <f t="shared" si="84"/>
        <v>0</v>
      </c>
      <c r="AL49" s="73">
        <f t="shared" si="84"/>
        <v>0</v>
      </c>
      <c r="AM49" s="73">
        <f t="shared" si="84"/>
        <v>0</v>
      </c>
      <c r="AN49" s="73">
        <f t="shared" si="84"/>
        <v>0</v>
      </c>
      <c r="AO49" s="73">
        <f t="shared" si="84"/>
        <v>0</v>
      </c>
      <c r="AP49" s="73">
        <f t="shared" si="84"/>
        <v>0</v>
      </c>
      <c r="AQ49" s="73">
        <f t="shared" si="84"/>
        <v>0</v>
      </c>
      <c r="AR49" s="73">
        <f t="shared" si="84"/>
        <v>0</v>
      </c>
      <c r="AS49" s="73">
        <f t="shared" si="84"/>
        <v>0</v>
      </c>
      <c r="AT49" s="73">
        <f t="shared" si="84"/>
        <v>0</v>
      </c>
      <c r="AU49" s="73">
        <f t="shared" si="84"/>
        <v>0</v>
      </c>
    </row>
    <row r="50" spans="3:47" s="45" customFormat="1"/>
    <row r="51" spans="3:47" s="45" customFormat="1">
      <c r="C51" s="45" t="s">
        <v>58</v>
      </c>
      <c r="D51" s="45">
        <f>D44</f>
        <v>66</v>
      </c>
      <c r="E51" s="45">
        <f>E44</f>
        <v>67</v>
      </c>
      <c r="F51" s="45">
        <f t="shared" ref="F51:W51" si="85">F44</f>
        <v>68</v>
      </c>
      <c r="G51" s="45">
        <f t="shared" si="85"/>
        <v>69</v>
      </c>
      <c r="H51" s="45">
        <f t="shared" si="85"/>
        <v>70</v>
      </c>
      <c r="I51" s="45">
        <f t="shared" si="85"/>
        <v>71</v>
      </c>
      <c r="J51" s="45">
        <f t="shared" si="85"/>
        <v>72</v>
      </c>
      <c r="K51" s="45">
        <f t="shared" si="85"/>
        <v>73</v>
      </c>
      <c r="L51" s="45">
        <f t="shared" si="85"/>
        <v>74</v>
      </c>
      <c r="M51" s="45">
        <f t="shared" si="85"/>
        <v>75</v>
      </c>
      <c r="N51" s="45">
        <f t="shared" si="85"/>
        <v>76</v>
      </c>
      <c r="O51" s="45">
        <f t="shared" si="85"/>
        <v>77</v>
      </c>
      <c r="P51" s="45">
        <f t="shared" si="85"/>
        <v>78</v>
      </c>
      <c r="Q51" s="45">
        <f t="shared" si="85"/>
        <v>79</v>
      </c>
      <c r="R51" s="45">
        <f t="shared" si="85"/>
        <v>80</v>
      </c>
      <c r="S51" s="45">
        <f t="shared" si="85"/>
        <v>81</v>
      </c>
      <c r="T51" s="45">
        <f t="shared" si="85"/>
        <v>82</v>
      </c>
      <c r="U51" s="45">
        <f t="shared" si="85"/>
        <v>83</v>
      </c>
      <c r="V51" s="45">
        <f t="shared" si="85"/>
        <v>84</v>
      </c>
      <c r="W51" s="45">
        <f t="shared" si="85"/>
        <v>85</v>
      </c>
      <c r="X51" s="45">
        <f t="shared" ref="X51:AH51" si="86">X44</f>
        <v>86</v>
      </c>
      <c r="Y51" s="45">
        <f t="shared" si="86"/>
        <v>87</v>
      </c>
      <c r="Z51" s="45">
        <f t="shared" si="86"/>
        <v>88</v>
      </c>
      <c r="AA51" s="45">
        <f t="shared" si="86"/>
        <v>89</v>
      </c>
      <c r="AB51" s="45">
        <f t="shared" si="86"/>
        <v>90</v>
      </c>
      <c r="AC51" s="45">
        <f t="shared" si="86"/>
        <v>91</v>
      </c>
      <c r="AD51" s="45">
        <f t="shared" si="86"/>
        <v>92</v>
      </c>
      <c r="AE51" s="45">
        <f t="shared" si="86"/>
        <v>93</v>
      </c>
      <c r="AF51" s="45">
        <f t="shared" si="86"/>
        <v>94</v>
      </c>
      <c r="AG51" s="45">
        <f t="shared" si="86"/>
        <v>95</v>
      </c>
      <c r="AH51" s="45">
        <f t="shared" si="86"/>
        <v>96</v>
      </c>
      <c r="AI51" s="45">
        <f>AH51+1</f>
        <v>97</v>
      </c>
      <c r="AJ51" s="45">
        <f t="shared" ref="AJ51:AU51" si="87">AI51+1</f>
        <v>98</v>
      </c>
      <c r="AK51" s="45">
        <f t="shared" si="87"/>
        <v>99</v>
      </c>
      <c r="AL51" s="45">
        <f t="shared" si="87"/>
        <v>100</v>
      </c>
      <c r="AM51" s="45">
        <f t="shared" si="87"/>
        <v>101</v>
      </c>
      <c r="AN51" s="45">
        <f t="shared" si="87"/>
        <v>102</v>
      </c>
      <c r="AO51" s="45">
        <f t="shared" si="87"/>
        <v>103</v>
      </c>
      <c r="AP51" s="45">
        <f t="shared" si="87"/>
        <v>104</v>
      </c>
      <c r="AQ51" s="45">
        <f t="shared" si="87"/>
        <v>105</v>
      </c>
      <c r="AR51" s="45">
        <f t="shared" si="87"/>
        <v>106</v>
      </c>
      <c r="AS51" s="45">
        <f t="shared" si="87"/>
        <v>107</v>
      </c>
      <c r="AT51" s="45">
        <f t="shared" si="87"/>
        <v>108</v>
      </c>
      <c r="AU51" s="45">
        <f t="shared" si="87"/>
        <v>109</v>
      </c>
    </row>
    <row r="52" spans="3:47" s="45" customFormat="1">
      <c r="C52" s="45" t="s">
        <v>63</v>
      </c>
      <c r="D52" s="45">
        <f>D41</f>
        <v>2874453.5912390477</v>
      </c>
      <c r="E52" s="45">
        <f>D56</f>
        <v>2562761.8674467951</v>
      </c>
      <c r="F52" s="45">
        <f t="shared" ref="F52:M52" si="88">E56</f>
        <v>2284868.4735272848</v>
      </c>
      <c r="G52" s="45">
        <f t="shared" si="88"/>
        <v>2037108.4834815571</v>
      </c>
      <c r="H52" s="45">
        <f t="shared" si="88"/>
        <v>1816214.3780058485</v>
      </c>
      <c r="I52" s="45">
        <f t="shared" si="88"/>
        <v>1619272.9516483971</v>
      </c>
      <c r="J52" s="45">
        <f t="shared" si="88"/>
        <v>1443686.8927439298</v>
      </c>
      <c r="K52" s="45">
        <f t="shared" si="88"/>
        <v>1287140.5294326099</v>
      </c>
      <c r="L52" s="45">
        <f t="shared" si="88"/>
        <v>1147569.2900135776</v>
      </c>
      <c r="M52" s="45">
        <f t="shared" si="88"/>
        <v>1023132.4748687556</v>
      </c>
      <c r="N52" s="45">
        <f t="shared" ref="N52:W52" si="89">M56</f>
        <v>912188.98086640099</v>
      </c>
      <c r="O52" s="45">
        <f t="shared" si="89"/>
        <v>813275.65809190169</v>
      </c>
      <c r="P52" s="45">
        <f t="shared" si="89"/>
        <v>725088.01346909371</v>
      </c>
      <c r="Q52" s="45">
        <f t="shared" si="89"/>
        <v>646463.00678674143</v>
      </c>
      <c r="R52" s="45">
        <f t="shared" si="89"/>
        <v>576363.71223997313</v>
      </c>
      <c r="S52" s="45">
        <f t="shared" si="89"/>
        <v>513865.64319933124</v>
      </c>
      <c r="T52" s="45">
        <f t="shared" si="89"/>
        <v>458144.55985514924</v>
      </c>
      <c r="U52" s="45">
        <f t="shared" si="89"/>
        <v>408465.59894148924</v>
      </c>
      <c r="V52" s="45">
        <f t="shared" si="89"/>
        <v>364173.58217978262</v>
      </c>
      <c r="W52" s="45">
        <f t="shared" si="89"/>
        <v>324684.37562756031</v>
      </c>
      <c r="X52" s="45">
        <f t="shared" ref="X52:AU52" si="90">W56</f>
        <v>289477.18597725115</v>
      </c>
      <c r="Y52" s="45">
        <f t="shared" si="90"/>
        <v>258087.69220675449</v>
      </c>
      <c r="Z52" s="45">
        <f t="shared" si="90"/>
        <v>230101.92200031612</v>
      </c>
      <c r="AA52" s="45">
        <f t="shared" si="90"/>
        <v>205150.79218044889</v>
      </c>
      <c r="AB52" s="45">
        <f t="shared" si="90"/>
        <v>182905.24114878065</v>
      </c>
      <c r="AC52" s="45">
        <f t="shared" si="90"/>
        <v>163071.88914126862</v>
      </c>
      <c r="AD52" s="45">
        <f t="shared" si="90"/>
        <v>145389.16906416646</v>
      </c>
      <c r="AE52" s="45">
        <f t="shared" si="90"/>
        <v>129623.87688326216</v>
      </c>
      <c r="AF52" s="45">
        <f t="shared" si="90"/>
        <v>115568.09607207747</v>
      </c>
      <c r="AG52" s="45">
        <f t="shared" si="90"/>
        <v>103036.4555578999</v>
      </c>
      <c r="AH52" s="45">
        <f t="shared" si="90"/>
        <v>91863.685002769082</v>
      </c>
      <c r="AI52" s="45">
        <f t="shared" si="90"/>
        <v>81902.435177866151</v>
      </c>
      <c r="AJ52" s="45">
        <f t="shared" si="90"/>
        <v>73021.334685870315</v>
      </c>
      <c r="AK52" s="45">
        <f t="shared" si="90"/>
        <v>65103.257402862582</v>
      </c>
      <c r="AL52" s="45">
        <f t="shared" si="90"/>
        <v>58043.777790376676</v>
      </c>
      <c r="AM52" s="45">
        <f t="shared" si="90"/>
        <v>51749.793705875098</v>
      </c>
      <c r="AN52" s="45">
        <f t="shared" si="90"/>
        <v>46138.298548938241</v>
      </c>
      <c r="AO52" s="45">
        <f t="shared" si="90"/>
        <v>41135.286549930395</v>
      </c>
      <c r="AP52" s="45">
        <f t="shared" si="90"/>
        <v>36674.776763822047</v>
      </c>
      <c r="AQ52" s="45">
        <f t="shared" si="90"/>
        <v>32697.942897360404</v>
      </c>
      <c r="AR52" s="45">
        <f t="shared" si="90"/>
        <v>29152.337493536252</v>
      </c>
      <c r="AS52" s="45">
        <f t="shared" si="90"/>
        <v>25991.20024170223</v>
      </c>
      <c r="AT52" s="45">
        <f t="shared" si="90"/>
        <v>23172.841291167322</v>
      </c>
      <c r="AU52" s="45">
        <f t="shared" si="90"/>
        <v>20660.091435256512</v>
      </c>
    </row>
    <row r="53" spans="3:47" s="45" customFormat="1">
      <c r="C53" s="45" t="s">
        <v>60</v>
      </c>
      <c r="D53" s="45">
        <f>D52*17.5%</f>
        <v>503029.37846683332</v>
      </c>
      <c r="E53" s="45">
        <f>E52*17.5%</f>
        <v>448483.32680318912</v>
      </c>
      <c r="F53" s="45">
        <f t="shared" ref="F53:I53" si="91">F52*17.5%</f>
        <v>399851.98286727484</v>
      </c>
      <c r="G53" s="45">
        <f t="shared" si="91"/>
        <v>356493.98460927245</v>
      </c>
      <c r="H53" s="45">
        <f t="shared" si="91"/>
        <v>317837.51615102345</v>
      </c>
      <c r="I53" s="45">
        <f t="shared" si="91"/>
        <v>283372.76653846947</v>
      </c>
      <c r="J53" s="45">
        <f t="shared" ref="J53" si="92">J52*17.5%</f>
        <v>252645.2062301877</v>
      </c>
      <c r="K53" s="45">
        <f t="shared" ref="K53" si="93">K52*17.5%</f>
        <v>225249.59265070673</v>
      </c>
      <c r="L53" s="45">
        <f t="shared" ref="L53" si="94">L52*17.5%</f>
        <v>200824.62575237607</v>
      </c>
      <c r="M53" s="45">
        <f t="shared" ref="M53" si="95">M52*17.5%</f>
        <v>179048.1831020322</v>
      </c>
      <c r="N53" s="45">
        <f t="shared" ref="N53" si="96">N52*17.5%</f>
        <v>159633.07165162015</v>
      </c>
      <c r="O53" s="45">
        <f t="shared" ref="O53" si="97">O52*17.5%</f>
        <v>142323.24016608277</v>
      </c>
      <c r="P53" s="45">
        <f t="shared" ref="P53" si="98">P52*17.5%</f>
        <v>126890.40235709139</v>
      </c>
      <c r="Q53" s="45">
        <f t="shared" ref="Q53" si="99">Q52*17.5%</f>
        <v>113131.02618767974</v>
      </c>
      <c r="R53" s="45">
        <f t="shared" ref="R53" si="100">R52*17.5%</f>
        <v>100863.64964199529</v>
      </c>
      <c r="S53" s="45">
        <f>S52*17.5%</f>
        <v>89926.487559882968</v>
      </c>
      <c r="T53" s="45">
        <f t="shared" ref="T53" si="101">T52*17.5%</f>
        <v>80175.297974651112</v>
      </c>
      <c r="U53" s="45">
        <f t="shared" ref="U53" si="102">U52*17.5%</f>
        <v>71481.479814760605</v>
      </c>
      <c r="V53" s="45">
        <f t="shared" ref="V53" si="103">V52*17.5%</f>
        <v>63730.376881461954</v>
      </c>
      <c r="W53" s="45">
        <f t="shared" ref="W53" si="104">W52*17.5%</f>
        <v>56819.76573482305</v>
      </c>
      <c r="X53" s="45">
        <f t="shared" ref="X53" si="105">X52*17.5%</f>
        <v>50658.507546018947</v>
      </c>
      <c r="Y53" s="45">
        <f t="shared" ref="Y53" si="106">Y52*17.5%</f>
        <v>45165.346136182037</v>
      </c>
      <c r="Z53" s="45">
        <f t="shared" ref="Z53" si="107">Z52*17.5%</f>
        <v>40267.836350055317</v>
      </c>
      <c r="AA53" s="45">
        <f t="shared" ref="AA53" si="108">AA52*17.5%</f>
        <v>35901.388631578549</v>
      </c>
      <c r="AB53" s="45">
        <f t="shared" ref="AB53" si="109">AB52*17.5%</f>
        <v>32008.417201036613</v>
      </c>
      <c r="AC53" s="45">
        <f t="shared" ref="AC53" si="110">AC52*17.5%</f>
        <v>28537.580599722009</v>
      </c>
      <c r="AD53" s="45">
        <f t="shared" ref="AD53" si="111">AD52*17.5%</f>
        <v>25443.104586229128</v>
      </c>
      <c r="AE53" s="45">
        <f t="shared" ref="AE53" si="112">AE52*17.5%</f>
        <v>22684.178454570876</v>
      </c>
      <c r="AF53" s="45">
        <f t="shared" ref="AF53" si="113">AF52*17.5%</f>
        <v>20224.416812613556</v>
      </c>
      <c r="AG53" s="45">
        <f t="shared" ref="AG53" si="114">AG52*17.5%</f>
        <v>18031.379722632482</v>
      </c>
      <c r="AH53" s="45">
        <f t="shared" ref="AH53" si="115">AH52*17.5%</f>
        <v>16076.144875484588</v>
      </c>
      <c r="AI53" s="45">
        <f t="shared" ref="AI53" si="116">AI52*17.5%</f>
        <v>14332.926156126576</v>
      </c>
      <c r="AJ53" s="45">
        <f t="shared" ref="AJ53" si="117">AJ52*17.5%</f>
        <v>12778.733570027305</v>
      </c>
      <c r="AK53" s="45">
        <f t="shared" ref="AK53" si="118">AK52*17.5%</f>
        <v>11393.070045500952</v>
      </c>
      <c r="AL53" s="45">
        <f t="shared" ref="AL53" si="119">AL52*17.5%</f>
        <v>10157.661113315919</v>
      </c>
      <c r="AM53" s="45">
        <f t="shared" ref="AM53" si="120">AM52*17.5%</f>
        <v>9056.2138985281417</v>
      </c>
      <c r="AN53" s="45">
        <f t="shared" ref="AN53" si="121">AN52*17.5%</f>
        <v>8074.202246064192</v>
      </c>
      <c r="AO53" s="45">
        <f t="shared" ref="AO53" si="122">AO52*17.5%</f>
        <v>7198.6751462378188</v>
      </c>
      <c r="AP53" s="45">
        <f t="shared" ref="AP53" si="123">AP52*17.5%</f>
        <v>6418.0859336688582</v>
      </c>
      <c r="AQ53" s="45">
        <f t="shared" ref="AQ53" si="124">AQ52*17.5%</f>
        <v>5722.1400070380705</v>
      </c>
      <c r="AR53" s="45">
        <f t="shared" ref="AR53" si="125">AR52*17.5%</f>
        <v>5101.659061368844</v>
      </c>
      <c r="AS53" s="45">
        <f t="shared" ref="AS53" si="126">AS52*17.5%</f>
        <v>4548.4600422978901</v>
      </c>
      <c r="AT53" s="45">
        <f t="shared" ref="AT53" si="127">AT52*17.5%</f>
        <v>4055.247225954281</v>
      </c>
      <c r="AU53" s="45">
        <f t="shared" ref="AU53" si="128">AU52*17.5%</f>
        <v>3615.5160011698895</v>
      </c>
    </row>
    <row r="54" spans="3:47" s="45" customFormat="1">
      <c r="C54" s="45" t="s">
        <v>64</v>
      </c>
      <c r="D54" s="45">
        <f>D36*12</f>
        <v>632054.75279810221</v>
      </c>
      <c r="E54" s="45">
        <f>D54*(1+$C$7)</f>
        <v>657336.94291002629</v>
      </c>
      <c r="F54" s="45">
        <f t="shared" ref="F54:AU54" si="129">E54*(1+$C$7)</f>
        <v>683630.4206264274</v>
      </c>
      <c r="G54" s="45">
        <f t="shared" si="129"/>
        <v>710975.63745148457</v>
      </c>
      <c r="H54" s="45">
        <f t="shared" si="129"/>
        <v>739414.66294954403</v>
      </c>
      <c r="I54" s="45">
        <f t="shared" si="129"/>
        <v>768991.24946752586</v>
      </c>
      <c r="J54" s="45">
        <f t="shared" si="129"/>
        <v>799750.89944622689</v>
      </c>
      <c r="K54" s="45">
        <f>J54*(1+$C$7)</f>
        <v>831740.93542407604</v>
      </c>
      <c r="L54" s="45">
        <f t="shared" si="129"/>
        <v>865010.57284103916</v>
      </c>
      <c r="M54" s="45">
        <f t="shared" si="129"/>
        <v>899610.99575468071</v>
      </c>
      <c r="N54" s="45">
        <f t="shared" si="129"/>
        <v>935595.43558486796</v>
      </c>
      <c r="O54" s="45">
        <f t="shared" si="129"/>
        <v>973019.25300826272</v>
      </c>
      <c r="P54" s="45">
        <f t="shared" si="129"/>
        <v>1011940.0231285932</v>
      </c>
      <c r="Q54" s="45">
        <f t="shared" si="129"/>
        <v>1052417.6240537369</v>
      </c>
      <c r="R54" s="45">
        <f t="shared" si="129"/>
        <v>1094514.3290158864</v>
      </c>
      <c r="S54" s="45">
        <f t="shared" si="129"/>
        <v>1138294.902176522</v>
      </c>
      <c r="T54" s="45">
        <f t="shared" si="129"/>
        <v>1183826.6982635828</v>
      </c>
      <c r="U54" s="45">
        <f t="shared" si="129"/>
        <v>1231179.7661941261</v>
      </c>
      <c r="V54" s="45">
        <f t="shared" si="129"/>
        <v>1280426.9568418912</v>
      </c>
      <c r="W54" s="45">
        <f t="shared" si="129"/>
        <v>1331644.0351155668</v>
      </c>
      <c r="X54" s="45">
        <f t="shared" si="129"/>
        <v>1384909.7965201896</v>
      </c>
      <c r="Y54" s="45">
        <f t="shared" si="129"/>
        <v>1440306.1883809972</v>
      </c>
      <c r="Z54" s="45">
        <f t="shared" si="129"/>
        <v>1497918.4359162371</v>
      </c>
      <c r="AA54" s="45">
        <f t="shared" si="129"/>
        <v>1557835.1733528867</v>
      </c>
      <c r="AB54" s="45">
        <f t="shared" si="129"/>
        <v>1620148.5802870023</v>
      </c>
      <c r="AC54" s="45">
        <f t="shared" si="129"/>
        <v>1684954.5234984823</v>
      </c>
      <c r="AD54" s="45">
        <f t="shared" si="129"/>
        <v>1752352.7044384216</v>
      </c>
      <c r="AE54" s="45">
        <f t="shared" si="129"/>
        <v>1822446.8126159585</v>
      </c>
      <c r="AF54" s="45">
        <f t="shared" si="129"/>
        <v>1895344.685120597</v>
      </c>
      <c r="AG54" s="45">
        <f t="shared" si="129"/>
        <v>1971158.4725254211</v>
      </c>
      <c r="AH54" s="45">
        <f t="shared" si="129"/>
        <v>2050004.8114264379</v>
      </c>
      <c r="AI54" s="45">
        <f t="shared" si="129"/>
        <v>2132005.0038834955</v>
      </c>
      <c r="AJ54" s="45">
        <f t="shared" si="129"/>
        <v>2217285.2040388351</v>
      </c>
      <c r="AK54" s="45">
        <f t="shared" si="129"/>
        <v>2305976.6122003887</v>
      </c>
      <c r="AL54" s="45">
        <f t="shared" si="129"/>
        <v>2398215.6766884043</v>
      </c>
      <c r="AM54" s="45">
        <f t="shared" si="129"/>
        <v>2494144.3037559404</v>
      </c>
      <c r="AN54" s="45">
        <f t="shared" si="129"/>
        <v>2593910.075906178</v>
      </c>
      <c r="AO54" s="45">
        <f t="shared" si="129"/>
        <v>2697666.478942425</v>
      </c>
      <c r="AP54" s="45">
        <f t="shared" si="129"/>
        <v>2805573.1381001221</v>
      </c>
      <c r="AQ54" s="45">
        <f t="shared" si="129"/>
        <v>2917796.0636241273</v>
      </c>
      <c r="AR54" s="45">
        <f t="shared" si="129"/>
        <v>3034507.9061690923</v>
      </c>
      <c r="AS54" s="45">
        <f t="shared" si="129"/>
        <v>3155888.2224158561</v>
      </c>
      <c r="AT54" s="45">
        <f t="shared" si="129"/>
        <v>3282123.7513124906</v>
      </c>
      <c r="AU54" s="45">
        <f t="shared" si="129"/>
        <v>3413408.7013649903</v>
      </c>
    </row>
    <row r="55" spans="3:47" s="45" customFormat="1">
      <c r="C55" s="45" t="s">
        <v>65</v>
      </c>
      <c r="D55" s="45">
        <f>IF(D53&gt;D54,D54,D53)</f>
        <v>503029.37846683332</v>
      </c>
      <c r="E55" s="45">
        <f t="shared" ref="E55:G55" si="130">IF(E53&gt;E54,E54,E53)</f>
        <v>448483.32680318912</v>
      </c>
      <c r="F55" s="45">
        <f t="shared" si="130"/>
        <v>399851.98286727484</v>
      </c>
      <c r="G55" s="45">
        <f t="shared" si="130"/>
        <v>356493.98460927245</v>
      </c>
      <c r="H55" s="45">
        <f>IF(H53&gt;H54,H54,H53)</f>
        <v>317837.51615102345</v>
      </c>
      <c r="I55" s="45">
        <f t="shared" ref="I55" si="131">IF(I53&gt;I54,I54,I53)</f>
        <v>283372.76653846947</v>
      </c>
      <c r="J55" s="45">
        <f t="shared" ref="J55" si="132">IF(J53&gt;J54,J54,J53)</f>
        <v>252645.2062301877</v>
      </c>
      <c r="K55" s="45">
        <f t="shared" ref="K55" si="133">IF(K53&gt;K54,K54,K53)</f>
        <v>225249.59265070673</v>
      </c>
      <c r="L55" s="45">
        <f t="shared" ref="L55" si="134">IF(L53&gt;L54,L54,L53)</f>
        <v>200824.62575237607</v>
      </c>
      <c r="M55" s="45">
        <f t="shared" ref="M55" si="135">IF(M53&gt;M54,M54,M53)</f>
        <v>179048.1831020322</v>
      </c>
      <c r="N55" s="45">
        <f t="shared" ref="N55" si="136">IF(N53&gt;N54,N54,N53)</f>
        <v>159633.07165162015</v>
      </c>
      <c r="O55" s="45">
        <f t="shared" ref="O55" si="137">IF(O53&gt;O54,O54,O53)</f>
        <v>142323.24016608277</v>
      </c>
      <c r="P55" s="45">
        <f t="shared" ref="P55" si="138">IF(P53&gt;P54,P54,P53)</f>
        <v>126890.40235709139</v>
      </c>
      <c r="Q55" s="45">
        <f t="shared" ref="Q55" si="139">IF(Q53&gt;Q54,Q54,Q53)</f>
        <v>113131.02618767974</v>
      </c>
      <c r="R55" s="45">
        <f t="shared" ref="R55" si="140">IF(R53&gt;R54,R54,R53)</f>
        <v>100863.64964199529</v>
      </c>
      <c r="S55" s="45">
        <f t="shared" ref="S55" si="141">IF(S53&gt;S54,S54,S53)</f>
        <v>89926.487559882968</v>
      </c>
      <c r="T55" s="45">
        <f t="shared" ref="T55" si="142">IF(T53&gt;T54,T54,T53)</f>
        <v>80175.297974651112</v>
      </c>
      <c r="U55" s="45">
        <f t="shared" ref="U55" si="143">IF(U53&gt;U54,U54,U53)</f>
        <v>71481.479814760605</v>
      </c>
      <c r="V55" s="45">
        <f t="shared" ref="V55" si="144">IF(V53&gt;V54,V54,V53)</f>
        <v>63730.376881461954</v>
      </c>
      <c r="W55" s="45">
        <f t="shared" ref="W55" si="145">IF(W53&gt;W54,W54,W53)</f>
        <v>56819.76573482305</v>
      </c>
      <c r="X55" s="45">
        <f t="shared" ref="X55" si="146">IF(X53&gt;X54,X54,X53)</f>
        <v>50658.507546018947</v>
      </c>
      <c r="Y55" s="45">
        <f t="shared" ref="Y55" si="147">IF(Y53&gt;Y54,Y54,Y53)</f>
        <v>45165.346136182037</v>
      </c>
      <c r="Z55" s="45">
        <f t="shared" ref="Z55" si="148">IF(Z53&gt;Z54,Z54,Z53)</f>
        <v>40267.836350055317</v>
      </c>
      <c r="AA55" s="45">
        <f t="shared" ref="AA55" si="149">IF(AA53&gt;AA54,AA54,AA53)</f>
        <v>35901.388631578549</v>
      </c>
      <c r="AB55" s="45">
        <f t="shared" ref="AB55" si="150">IF(AB53&gt;AB54,AB54,AB53)</f>
        <v>32008.417201036613</v>
      </c>
      <c r="AC55" s="45">
        <f t="shared" ref="AC55" si="151">IF(AC53&gt;AC54,AC54,AC53)</f>
        <v>28537.580599722009</v>
      </c>
      <c r="AD55" s="45">
        <f t="shared" ref="AD55" si="152">IF(AD53&gt;AD54,AD54,AD53)</f>
        <v>25443.104586229128</v>
      </c>
      <c r="AE55" s="45">
        <f t="shared" ref="AE55" si="153">IF(AE53&gt;AE54,AE54,AE53)</f>
        <v>22684.178454570876</v>
      </c>
      <c r="AF55" s="45">
        <f t="shared" ref="AF55" si="154">IF(AF53&gt;AF54,AF54,AF53)</f>
        <v>20224.416812613556</v>
      </c>
      <c r="AG55" s="45">
        <f t="shared" ref="AG55" si="155">IF(AG53&gt;AG54,AG54,AG53)</f>
        <v>18031.379722632482</v>
      </c>
      <c r="AH55" s="45">
        <f t="shared" ref="AH55" si="156">IF(AH53&gt;AH54,AH54,AH53)</f>
        <v>16076.144875484588</v>
      </c>
      <c r="AI55" s="45">
        <f t="shared" ref="AI55" si="157">IF(AI53&gt;AI54,AI54,AI53)</f>
        <v>14332.926156126576</v>
      </c>
      <c r="AJ55" s="45">
        <f t="shared" ref="AJ55" si="158">IF(AJ53&gt;AJ54,AJ54,AJ53)</f>
        <v>12778.733570027305</v>
      </c>
      <c r="AK55" s="45">
        <f t="shared" ref="AK55" si="159">IF(AK53&gt;AK54,AK54,AK53)</f>
        <v>11393.070045500952</v>
      </c>
      <c r="AL55" s="45">
        <f t="shared" ref="AL55" si="160">IF(AL53&gt;AL54,AL54,AL53)</f>
        <v>10157.661113315919</v>
      </c>
      <c r="AM55" s="45">
        <f t="shared" ref="AM55" si="161">IF(AM53&gt;AM54,AM54,AM53)</f>
        <v>9056.2138985281417</v>
      </c>
      <c r="AN55" s="45">
        <f t="shared" ref="AN55" si="162">IF(AN53&gt;AN54,AN54,AN53)</f>
        <v>8074.202246064192</v>
      </c>
      <c r="AO55" s="45">
        <f t="shared" ref="AO55" si="163">IF(AO53&gt;AO54,AO54,AO53)</f>
        <v>7198.6751462378188</v>
      </c>
      <c r="AP55" s="45">
        <f t="shared" ref="AP55" si="164">IF(AP53&gt;AP54,AP54,AP53)</f>
        <v>6418.0859336688582</v>
      </c>
      <c r="AQ55" s="45">
        <f t="shared" ref="AQ55" si="165">IF(AQ53&gt;AQ54,AQ54,AQ53)</f>
        <v>5722.1400070380705</v>
      </c>
      <c r="AR55" s="45">
        <f t="shared" ref="AR55" si="166">IF(AR53&gt;AR54,AR54,AR53)</f>
        <v>5101.659061368844</v>
      </c>
      <c r="AS55" s="45">
        <f t="shared" ref="AS55" si="167">IF(AS53&gt;AS54,AS54,AS53)</f>
        <v>4548.4600422978901</v>
      </c>
      <c r="AT55" s="45">
        <f t="shared" ref="AT55" si="168">IF(AT53&gt;AT54,AT54,AT53)</f>
        <v>4055.247225954281</v>
      </c>
      <c r="AU55" s="45">
        <f t="shared" ref="AU55" si="169">IF(AU53&gt;AU54,AU54,AU53)</f>
        <v>3615.5160011698895</v>
      </c>
    </row>
    <row r="56" spans="3:47" s="45" customFormat="1">
      <c r="C56" s="45" t="s">
        <v>59</v>
      </c>
      <c r="D56" s="45">
        <f>FV($C$9/12,12,(D55/12),-D52)</f>
        <v>2562761.8674467951</v>
      </c>
      <c r="E56" s="45">
        <f t="shared" ref="E56:AU56" si="170">FV($C$9/12,12,(E55/12),-E52)</f>
        <v>2284868.4735272848</v>
      </c>
      <c r="F56" s="45">
        <f t="shared" si="170"/>
        <v>2037108.4834815571</v>
      </c>
      <c r="G56" s="45">
        <f t="shared" si="170"/>
        <v>1816214.3780058485</v>
      </c>
      <c r="H56" s="45">
        <f t="shared" si="170"/>
        <v>1619272.9516483971</v>
      </c>
      <c r="I56" s="45">
        <f t="shared" si="170"/>
        <v>1443686.8927439298</v>
      </c>
      <c r="J56" s="45">
        <f t="shared" si="170"/>
        <v>1287140.5294326099</v>
      </c>
      <c r="K56" s="45">
        <f t="shared" si="170"/>
        <v>1147569.2900135776</v>
      </c>
      <c r="L56" s="45">
        <f t="shared" si="170"/>
        <v>1023132.4748687556</v>
      </c>
      <c r="M56" s="45">
        <f t="shared" si="170"/>
        <v>912188.98086640099</v>
      </c>
      <c r="N56" s="45">
        <f t="shared" si="170"/>
        <v>813275.65809190169</v>
      </c>
      <c r="O56" s="45">
        <f t="shared" si="170"/>
        <v>725088.01346909371</v>
      </c>
      <c r="P56" s="45">
        <f t="shared" si="170"/>
        <v>646463.00678674143</v>
      </c>
      <c r="Q56" s="45">
        <f t="shared" si="170"/>
        <v>576363.71223997313</v>
      </c>
      <c r="R56" s="45">
        <f t="shared" si="170"/>
        <v>513865.64319933124</v>
      </c>
      <c r="S56" s="45">
        <f t="shared" si="170"/>
        <v>458144.55985514924</v>
      </c>
      <c r="T56" s="45">
        <f t="shared" si="170"/>
        <v>408465.59894148924</v>
      </c>
      <c r="U56" s="45">
        <f t="shared" si="170"/>
        <v>364173.58217978262</v>
      </c>
      <c r="V56" s="45">
        <f t="shared" si="170"/>
        <v>324684.37562756031</v>
      </c>
      <c r="W56" s="45">
        <f t="shared" si="170"/>
        <v>289477.18597725115</v>
      </c>
      <c r="X56" s="45">
        <f t="shared" si="170"/>
        <v>258087.69220675449</v>
      </c>
      <c r="Y56" s="45">
        <f t="shared" si="170"/>
        <v>230101.92200031612</v>
      </c>
      <c r="Z56" s="45">
        <f t="shared" si="170"/>
        <v>205150.79218044889</v>
      </c>
      <c r="AA56" s="45">
        <f t="shared" si="170"/>
        <v>182905.24114878065</v>
      </c>
      <c r="AB56" s="45">
        <f t="shared" si="170"/>
        <v>163071.88914126862</v>
      </c>
      <c r="AC56" s="45">
        <f t="shared" si="170"/>
        <v>145389.16906416646</v>
      </c>
      <c r="AD56" s="45">
        <f t="shared" si="170"/>
        <v>129623.87688326216</v>
      </c>
      <c r="AE56" s="45">
        <f t="shared" si="170"/>
        <v>115568.09607207747</v>
      </c>
      <c r="AF56" s="45">
        <f t="shared" si="170"/>
        <v>103036.4555578999</v>
      </c>
      <c r="AG56" s="45">
        <f t="shared" si="170"/>
        <v>91863.685002769082</v>
      </c>
      <c r="AH56" s="45">
        <f t="shared" si="170"/>
        <v>81902.435177866151</v>
      </c>
      <c r="AI56" s="45">
        <f t="shared" si="170"/>
        <v>73021.334685870315</v>
      </c>
      <c r="AJ56" s="45">
        <f t="shared" si="170"/>
        <v>65103.257402862582</v>
      </c>
      <c r="AK56" s="45">
        <f t="shared" si="170"/>
        <v>58043.777790376676</v>
      </c>
      <c r="AL56" s="45">
        <f t="shared" si="170"/>
        <v>51749.793705875098</v>
      </c>
      <c r="AM56" s="45">
        <f t="shared" si="170"/>
        <v>46138.298548938241</v>
      </c>
      <c r="AN56" s="45">
        <f t="shared" si="170"/>
        <v>41135.286549930395</v>
      </c>
      <c r="AO56" s="45">
        <f t="shared" si="170"/>
        <v>36674.776763822047</v>
      </c>
      <c r="AP56" s="45">
        <f t="shared" si="170"/>
        <v>32697.942897360404</v>
      </c>
      <c r="AQ56" s="45">
        <f t="shared" si="170"/>
        <v>29152.337493536252</v>
      </c>
      <c r="AR56" s="45">
        <f t="shared" si="170"/>
        <v>25991.20024170223</v>
      </c>
      <c r="AS56" s="45">
        <f t="shared" si="170"/>
        <v>23172.841291167322</v>
      </c>
      <c r="AT56" s="45">
        <f t="shared" si="170"/>
        <v>20660.091435256512</v>
      </c>
      <c r="AU56" s="45">
        <f t="shared" si="170"/>
        <v>18419.811914728634</v>
      </c>
    </row>
    <row r="57" spans="3:47" s="45" customFormat="1"/>
    <row r="58" spans="3:47" s="45" customFormat="1">
      <c r="C58" s="45" t="s">
        <v>61</v>
      </c>
      <c r="D58" s="45">
        <f>SUM(D49:AU49)</f>
        <v>0</v>
      </c>
    </row>
    <row r="59" spans="3:47" s="45" customFormat="1">
      <c r="D59" s="45">
        <f>D51</f>
        <v>66</v>
      </c>
      <c r="E59" s="45">
        <f t="shared" ref="E59:AK59" si="171">E51</f>
        <v>67</v>
      </c>
      <c r="F59" s="45">
        <f t="shared" si="171"/>
        <v>68</v>
      </c>
      <c r="G59" s="45">
        <f t="shared" si="171"/>
        <v>69</v>
      </c>
      <c r="H59" s="45">
        <f t="shared" si="171"/>
        <v>70</v>
      </c>
      <c r="I59" s="45">
        <f t="shared" si="171"/>
        <v>71</v>
      </c>
      <c r="J59" s="45">
        <f t="shared" si="171"/>
        <v>72</v>
      </c>
      <c r="K59" s="45">
        <f t="shared" si="171"/>
        <v>73</v>
      </c>
      <c r="L59" s="45">
        <f t="shared" si="171"/>
        <v>74</v>
      </c>
      <c r="M59" s="45">
        <f t="shared" si="171"/>
        <v>75</v>
      </c>
      <c r="N59" s="45">
        <f t="shared" si="171"/>
        <v>76</v>
      </c>
      <c r="O59" s="45">
        <f t="shared" si="171"/>
        <v>77</v>
      </c>
      <c r="P59" s="45">
        <f t="shared" si="171"/>
        <v>78</v>
      </c>
      <c r="Q59" s="45">
        <f t="shared" si="171"/>
        <v>79</v>
      </c>
      <c r="R59" s="45">
        <f t="shared" si="171"/>
        <v>80</v>
      </c>
      <c r="S59" s="45">
        <f t="shared" si="171"/>
        <v>81</v>
      </c>
      <c r="T59" s="45">
        <f t="shared" si="171"/>
        <v>82</v>
      </c>
      <c r="U59" s="45">
        <f t="shared" si="171"/>
        <v>83</v>
      </c>
      <c r="V59" s="45">
        <f t="shared" si="171"/>
        <v>84</v>
      </c>
      <c r="W59" s="45">
        <f t="shared" si="171"/>
        <v>85</v>
      </c>
      <c r="X59" s="45">
        <f t="shared" si="171"/>
        <v>86</v>
      </c>
      <c r="Y59" s="45">
        <f t="shared" si="171"/>
        <v>87</v>
      </c>
      <c r="Z59" s="45">
        <f t="shared" si="171"/>
        <v>88</v>
      </c>
      <c r="AA59" s="45">
        <f t="shared" si="171"/>
        <v>89</v>
      </c>
      <c r="AB59" s="45">
        <f t="shared" si="171"/>
        <v>90</v>
      </c>
      <c r="AC59" s="45">
        <f t="shared" si="171"/>
        <v>91</v>
      </c>
      <c r="AD59" s="45">
        <f t="shared" si="171"/>
        <v>92</v>
      </c>
      <c r="AE59" s="45">
        <f t="shared" si="171"/>
        <v>93</v>
      </c>
      <c r="AF59" s="45">
        <f t="shared" si="171"/>
        <v>94</v>
      </c>
      <c r="AG59" s="45">
        <f t="shared" si="171"/>
        <v>95</v>
      </c>
      <c r="AH59" s="45">
        <f t="shared" si="171"/>
        <v>96</v>
      </c>
      <c r="AI59" s="45">
        <f t="shared" si="171"/>
        <v>97</v>
      </c>
      <c r="AJ59" s="45">
        <f t="shared" si="171"/>
        <v>98</v>
      </c>
      <c r="AK59" s="45">
        <f t="shared" si="171"/>
        <v>99</v>
      </c>
    </row>
    <row r="60" spans="3:47" s="45" customFormat="1">
      <c r="C60" s="45" t="s">
        <v>62</v>
      </c>
      <c r="D60" s="45">
        <f>D55</f>
        <v>503029.37846683332</v>
      </c>
      <c r="E60" s="45">
        <f t="shared" ref="E60:AU60" si="172">E55</f>
        <v>448483.32680318912</v>
      </c>
      <c r="F60" s="45">
        <f t="shared" si="172"/>
        <v>399851.98286727484</v>
      </c>
      <c r="G60" s="45">
        <f t="shared" si="172"/>
        <v>356493.98460927245</v>
      </c>
      <c r="H60" s="45">
        <f t="shared" si="172"/>
        <v>317837.51615102345</v>
      </c>
      <c r="I60" s="45">
        <f t="shared" si="172"/>
        <v>283372.76653846947</v>
      </c>
      <c r="J60" s="45">
        <f t="shared" si="172"/>
        <v>252645.2062301877</v>
      </c>
      <c r="K60" s="45">
        <f t="shared" si="172"/>
        <v>225249.59265070673</v>
      </c>
      <c r="L60" s="45">
        <f t="shared" si="172"/>
        <v>200824.62575237607</v>
      </c>
      <c r="M60" s="45">
        <f t="shared" si="172"/>
        <v>179048.1831020322</v>
      </c>
      <c r="N60" s="45">
        <f t="shared" si="172"/>
        <v>159633.07165162015</v>
      </c>
      <c r="O60" s="45">
        <f t="shared" si="172"/>
        <v>142323.24016608277</v>
      </c>
      <c r="P60" s="45">
        <f t="shared" si="172"/>
        <v>126890.40235709139</v>
      </c>
      <c r="Q60" s="45">
        <f t="shared" si="172"/>
        <v>113131.02618767974</v>
      </c>
      <c r="R60" s="45">
        <f t="shared" si="172"/>
        <v>100863.64964199529</v>
      </c>
      <c r="S60" s="45">
        <f t="shared" si="172"/>
        <v>89926.487559882968</v>
      </c>
      <c r="T60" s="45">
        <f t="shared" si="172"/>
        <v>80175.297974651112</v>
      </c>
      <c r="U60" s="45">
        <f t="shared" si="172"/>
        <v>71481.479814760605</v>
      </c>
      <c r="V60" s="45">
        <f t="shared" si="172"/>
        <v>63730.376881461954</v>
      </c>
      <c r="W60" s="45">
        <f t="shared" si="172"/>
        <v>56819.76573482305</v>
      </c>
      <c r="X60" s="45">
        <f t="shared" si="172"/>
        <v>50658.507546018947</v>
      </c>
      <c r="Y60" s="45">
        <f t="shared" si="172"/>
        <v>45165.346136182037</v>
      </c>
      <c r="Z60" s="45">
        <f t="shared" si="172"/>
        <v>40267.836350055317</v>
      </c>
      <c r="AA60" s="45">
        <f t="shared" si="172"/>
        <v>35901.388631578549</v>
      </c>
      <c r="AB60" s="45">
        <f t="shared" si="172"/>
        <v>32008.417201036613</v>
      </c>
      <c r="AC60" s="45">
        <f t="shared" si="172"/>
        <v>28537.580599722009</v>
      </c>
      <c r="AD60" s="45">
        <f t="shared" si="172"/>
        <v>25443.104586229128</v>
      </c>
      <c r="AE60" s="45">
        <f t="shared" si="172"/>
        <v>22684.178454570876</v>
      </c>
      <c r="AF60" s="45">
        <f t="shared" si="172"/>
        <v>20224.416812613556</v>
      </c>
      <c r="AG60" s="45">
        <f t="shared" si="172"/>
        <v>18031.379722632482</v>
      </c>
      <c r="AH60" s="45">
        <f t="shared" si="172"/>
        <v>16076.144875484588</v>
      </c>
      <c r="AI60" s="45">
        <f t="shared" si="172"/>
        <v>14332.926156126576</v>
      </c>
      <c r="AJ60" s="45">
        <f t="shared" si="172"/>
        <v>12778.733570027305</v>
      </c>
      <c r="AK60" s="45">
        <f t="shared" si="172"/>
        <v>11393.070045500952</v>
      </c>
      <c r="AL60" s="45">
        <f t="shared" si="172"/>
        <v>10157.661113315919</v>
      </c>
      <c r="AM60" s="45">
        <f t="shared" si="172"/>
        <v>9056.2138985281417</v>
      </c>
      <c r="AN60" s="45">
        <f t="shared" si="172"/>
        <v>8074.202246064192</v>
      </c>
      <c r="AO60" s="45">
        <f t="shared" si="172"/>
        <v>7198.6751462378188</v>
      </c>
      <c r="AP60" s="45">
        <f t="shared" si="172"/>
        <v>6418.0859336688582</v>
      </c>
      <c r="AQ60" s="45">
        <f t="shared" si="172"/>
        <v>5722.1400070380705</v>
      </c>
      <c r="AR60" s="45">
        <f t="shared" si="172"/>
        <v>5101.659061368844</v>
      </c>
      <c r="AS60" s="45">
        <f t="shared" si="172"/>
        <v>4548.4600422978901</v>
      </c>
      <c r="AT60" s="45">
        <f t="shared" si="172"/>
        <v>4055.247225954281</v>
      </c>
      <c r="AU60" s="45">
        <f t="shared" si="172"/>
        <v>3615.5160011698895</v>
      </c>
    </row>
    <row r="61" spans="3:47" s="45" customFormat="1">
      <c r="C61" s="45" t="s">
        <v>63</v>
      </c>
      <c r="D61" s="45">
        <f>D52</f>
        <v>2874453.5912390477</v>
      </c>
      <c r="E61" s="45">
        <f t="shared" ref="E61:AD61" si="173">E52</f>
        <v>2562761.8674467951</v>
      </c>
      <c r="F61" s="45">
        <f t="shared" si="173"/>
        <v>2284868.4735272848</v>
      </c>
      <c r="G61" s="45">
        <f t="shared" si="173"/>
        <v>2037108.4834815571</v>
      </c>
      <c r="H61" s="45">
        <f t="shared" si="173"/>
        <v>1816214.3780058485</v>
      </c>
      <c r="I61" s="45">
        <f t="shared" si="173"/>
        <v>1619272.9516483971</v>
      </c>
      <c r="J61" s="45">
        <f t="shared" si="173"/>
        <v>1443686.8927439298</v>
      </c>
      <c r="K61" s="45">
        <f t="shared" si="173"/>
        <v>1287140.5294326099</v>
      </c>
      <c r="L61" s="45">
        <f t="shared" si="173"/>
        <v>1147569.2900135776</v>
      </c>
      <c r="M61" s="45">
        <f t="shared" si="173"/>
        <v>1023132.4748687556</v>
      </c>
      <c r="N61" s="45">
        <f t="shared" si="173"/>
        <v>912188.98086640099</v>
      </c>
      <c r="O61" s="45">
        <f t="shared" si="173"/>
        <v>813275.65809190169</v>
      </c>
      <c r="P61" s="45">
        <f t="shared" si="173"/>
        <v>725088.01346909371</v>
      </c>
      <c r="Q61" s="45">
        <f t="shared" si="173"/>
        <v>646463.00678674143</v>
      </c>
      <c r="R61" s="45">
        <f t="shared" si="173"/>
        <v>576363.71223997313</v>
      </c>
      <c r="S61" s="45">
        <f t="shared" si="173"/>
        <v>513865.64319933124</v>
      </c>
      <c r="T61" s="45">
        <f t="shared" si="173"/>
        <v>458144.55985514924</v>
      </c>
      <c r="U61" s="45">
        <f t="shared" si="173"/>
        <v>408465.59894148924</v>
      </c>
      <c r="V61" s="45">
        <f t="shared" si="173"/>
        <v>364173.58217978262</v>
      </c>
      <c r="W61" s="45">
        <f t="shared" si="173"/>
        <v>324684.37562756031</v>
      </c>
      <c r="X61" s="45">
        <f t="shared" si="173"/>
        <v>289477.18597725115</v>
      </c>
      <c r="Y61" s="45">
        <f t="shared" si="173"/>
        <v>258087.69220675449</v>
      </c>
      <c r="Z61" s="45">
        <f t="shared" si="173"/>
        <v>230101.92200031612</v>
      </c>
      <c r="AA61" s="45">
        <f t="shared" si="173"/>
        <v>205150.79218044889</v>
      </c>
      <c r="AB61" s="45">
        <f t="shared" si="173"/>
        <v>182905.24114878065</v>
      </c>
      <c r="AC61" s="45">
        <f t="shared" si="173"/>
        <v>163071.88914126862</v>
      </c>
      <c r="AD61" s="45">
        <f t="shared" si="173"/>
        <v>145389.16906416646</v>
      </c>
    </row>
    <row r="62" spans="3:47" s="45" customFormat="1"/>
    <row r="63" spans="3:47" s="45" customFormat="1">
      <c r="D63" s="45">
        <f>D59</f>
        <v>66</v>
      </c>
      <c r="E63" s="45">
        <f t="shared" ref="E63:M63" si="174">E59</f>
        <v>67</v>
      </c>
      <c r="F63" s="45">
        <f t="shared" si="174"/>
        <v>68</v>
      </c>
      <c r="G63" s="45">
        <f t="shared" si="174"/>
        <v>69</v>
      </c>
      <c r="H63" s="45">
        <f t="shared" si="174"/>
        <v>70</v>
      </c>
      <c r="I63" s="45">
        <f t="shared" si="174"/>
        <v>71</v>
      </c>
      <c r="J63" s="45">
        <f t="shared" si="174"/>
        <v>72</v>
      </c>
      <c r="K63" s="45">
        <f t="shared" si="174"/>
        <v>73</v>
      </c>
      <c r="L63" s="45">
        <f t="shared" si="174"/>
        <v>74</v>
      </c>
      <c r="M63" s="45">
        <f t="shared" si="174"/>
        <v>75</v>
      </c>
    </row>
    <row r="64" spans="3:47" s="45" customFormat="1">
      <c r="C64" s="45" t="s">
        <v>66</v>
      </c>
      <c r="D64" s="45">
        <f>PV($C$7,(D51-1)-$C$3,0,-D52)</f>
        <v>1364337.6203630432</v>
      </c>
      <c r="E64" s="45">
        <f t="shared" ref="E64:M64" si="175">PV($C$7,(E51-1)-$C$3,0,-E52)</f>
        <v>1169611.0625251632</v>
      </c>
      <c r="F64" s="45">
        <f t="shared" si="175"/>
        <v>1002677.0626006972</v>
      </c>
      <c r="G64" s="45">
        <f t="shared" si="175"/>
        <v>859568.89779668348</v>
      </c>
      <c r="H64" s="45">
        <f t="shared" si="175"/>
        <v>736886.00010754028</v>
      </c>
      <c r="I64" s="45">
        <f t="shared" si="175"/>
        <v>631713.15126263152</v>
      </c>
      <c r="J64" s="45">
        <f t="shared" si="175"/>
        <v>541551.21066206414</v>
      </c>
      <c r="K64" s="45">
        <f t="shared" si="175"/>
        <v>464257.73024253332</v>
      </c>
      <c r="L64" s="45">
        <f t="shared" si="175"/>
        <v>397996.04515046673</v>
      </c>
      <c r="M64" s="45">
        <f t="shared" si="175"/>
        <v>341191.63050373335</v>
      </c>
    </row>
    <row r="65" spans="3:18" s="45" customFormat="1">
      <c r="C65" s="45" t="s">
        <v>62</v>
      </c>
      <c r="D65" s="45">
        <f>D66*12</f>
        <v>238759.08356353251</v>
      </c>
      <c r="E65" s="45">
        <f t="shared" ref="E65:M65" si="176">E66*12</f>
        <v>204681.93594190356</v>
      </c>
      <c r="F65" s="45">
        <f t="shared" si="176"/>
        <v>175468.48595512199</v>
      </c>
      <c r="G65" s="45">
        <f t="shared" si="176"/>
        <v>150424.55711441959</v>
      </c>
      <c r="H65" s="45">
        <f t="shared" si="176"/>
        <v>128955.05001881954</v>
      </c>
      <c r="I65" s="45">
        <f t="shared" si="176"/>
        <v>110549.80147096052</v>
      </c>
      <c r="J65" s="45">
        <f t="shared" si="176"/>
        <v>94771.461865861216</v>
      </c>
      <c r="K65" s="45">
        <f t="shared" si="176"/>
        <v>81245.102792443329</v>
      </c>
      <c r="L65" s="45">
        <f t="shared" si="176"/>
        <v>69649.307901331675</v>
      </c>
      <c r="M65" s="45">
        <f t="shared" si="176"/>
        <v>59708.53533815332</v>
      </c>
    </row>
    <row r="66" spans="3:18" s="45" customFormat="1">
      <c r="C66" s="45" t="s">
        <v>67</v>
      </c>
      <c r="D66" s="45">
        <f>PV($C$7,(D51-1)-$C$3,0,-D55)/12</f>
        <v>19896.590296961043</v>
      </c>
      <c r="E66" s="45">
        <f t="shared" ref="E66:M66" si="177">PV($C$7,(E51-1)-$C$3,0,-E55)/12</f>
        <v>17056.82799515863</v>
      </c>
      <c r="F66" s="45">
        <f t="shared" si="177"/>
        <v>14622.373829593498</v>
      </c>
      <c r="G66" s="45">
        <f t="shared" si="177"/>
        <v>12535.379759534966</v>
      </c>
      <c r="H66" s="45">
        <f t="shared" si="177"/>
        <v>10746.254168234962</v>
      </c>
      <c r="I66" s="45">
        <f t="shared" si="177"/>
        <v>9212.483455913376</v>
      </c>
      <c r="J66" s="45">
        <f>PV($C$7,(J51-1)-$C$3,0,-J55)/12</f>
        <v>7897.6218221551017</v>
      </c>
      <c r="K66" s="45">
        <f t="shared" si="177"/>
        <v>6770.4252327036111</v>
      </c>
      <c r="L66" s="45">
        <f t="shared" si="177"/>
        <v>5804.1089917776399</v>
      </c>
      <c r="M66" s="45">
        <f t="shared" si="177"/>
        <v>4975.7112781794431</v>
      </c>
    </row>
    <row r="67" spans="3:18" s="45" customFormat="1"/>
    <row r="68" spans="3:18" s="45" customFormat="1"/>
    <row r="69" spans="3:18" s="45" customFormat="1">
      <c r="D69" s="45">
        <v>1</v>
      </c>
      <c r="E69" s="45">
        <v>2</v>
      </c>
      <c r="F69" s="45">
        <v>3</v>
      </c>
      <c r="G69" s="45">
        <v>4</v>
      </c>
      <c r="H69" s="45">
        <v>5</v>
      </c>
      <c r="I69" s="45">
        <v>6</v>
      </c>
      <c r="J69" s="45">
        <v>7</v>
      </c>
      <c r="K69" s="45">
        <v>8</v>
      </c>
      <c r="L69" s="45">
        <v>9</v>
      </c>
      <c r="M69" s="45">
        <v>10</v>
      </c>
    </row>
    <row r="70" spans="3:18" s="45" customFormat="1">
      <c r="C70" s="45" t="s">
        <v>68</v>
      </c>
      <c r="D70" s="45">
        <f>C12</f>
        <v>25000</v>
      </c>
      <c r="E70" s="45">
        <f>D70*(1+$C$7)</f>
        <v>26000</v>
      </c>
      <c r="F70" s="45">
        <f t="shared" ref="F70:M70" si="178">E70*(1+$C$7)</f>
        <v>27040</v>
      </c>
      <c r="G70" s="45">
        <f t="shared" si="178"/>
        <v>28121.600000000002</v>
      </c>
      <c r="H70" s="45">
        <f t="shared" si="178"/>
        <v>29246.464000000004</v>
      </c>
      <c r="I70" s="45">
        <f t="shared" si="178"/>
        <v>30416.322560000004</v>
      </c>
      <c r="J70" s="45">
        <f t="shared" si="178"/>
        <v>31632.975462400005</v>
      </c>
      <c r="K70" s="45">
        <f t="shared" si="178"/>
        <v>32898.294480896009</v>
      </c>
      <c r="L70" s="45">
        <f t="shared" si="178"/>
        <v>34214.226260131851</v>
      </c>
      <c r="M70" s="45">
        <f t="shared" si="178"/>
        <v>35582.795310537127</v>
      </c>
    </row>
    <row r="71" spans="3:18" s="45" customFormat="1">
      <c r="C71" s="45" t="s">
        <v>62</v>
      </c>
      <c r="D71" s="45">
        <f>D66</f>
        <v>19896.590296961043</v>
      </c>
      <c r="E71" s="45">
        <f t="shared" ref="E71:R71" si="179">E66</f>
        <v>17056.82799515863</v>
      </c>
      <c r="F71" s="45">
        <f t="shared" si="179"/>
        <v>14622.373829593498</v>
      </c>
      <c r="G71" s="45">
        <f t="shared" si="179"/>
        <v>12535.379759534966</v>
      </c>
      <c r="H71" s="45">
        <f t="shared" si="179"/>
        <v>10746.254168234962</v>
      </c>
      <c r="I71" s="45">
        <f t="shared" si="179"/>
        <v>9212.483455913376</v>
      </c>
      <c r="J71" s="45">
        <f t="shared" si="179"/>
        <v>7897.6218221551017</v>
      </c>
      <c r="K71" s="45">
        <f t="shared" si="179"/>
        <v>6770.4252327036111</v>
      </c>
      <c r="L71" s="45">
        <f t="shared" si="179"/>
        <v>5804.1089917776399</v>
      </c>
      <c r="M71" s="45">
        <f t="shared" si="179"/>
        <v>4975.7112781794431</v>
      </c>
      <c r="N71" s="45">
        <f t="shared" si="179"/>
        <v>0</v>
      </c>
      <c r="O71" s="45">
        <f t="shared" si="179"/>
        <v>0</v>
      </c>
      <c r="P71" s="45">
        <f t="shared" si="179"/>
        <v>0</v>
      </c>
      <c r="Q71" s="45">
        <f t="shared" si="179"/>
        <v>0</v>
      </c>
      <c r="R71" s="45">
        <f t="shared" si="179"/>
        <v>0</v>
      </c>
    </row>
    <row r="72" spans="3:18" s="45" customFormat="1">
      <c r="D72" s="44">
        <f>D71/D70</f>
        <v>0.79586361187844168</v>
      </c>
      <c r="E72" s="44">
        <f t="shared" ref="E72:M72" si="180">E71/E70</f>
        <v>0.65603184596763964</v>
      </c>
      <c r="F72" s="44">
        <f t="shared" si="180"/>
        <v>0.54076826292875368</v>
      </c>
      <c r="G72" s="44">
        <f t="shared" si="180"/>
        <v>0.44575627843134691</v>
      </c>
      <c r="H72" s="44">
        <f t="shared" si="180"/>
        <v>0.36743772403511621</v>
      </c>
      <c r="I72" s="44">
        <f t="shared" si="180"/>
        <v>0.30287959491949096</v>
      </c>
      <c r="J72" s="44">
        <f t="shared" si="180"/>
        <v>0.24966420979090237</v>
      </c>
      <c r="K72" s="44">
        <f t="shared" si="180"/>
        <v>0.20579866949136791</v>
      </c>
      <c r="L72" s="44">
        <f t="shared" si="180"/>
        <v>0.16964022356223446</v>
      </c>
      <c r="M72" s="44">
        <f t="shared" si="180"/>
        <v>0.1398347497647546</v>
      </c>
    </row>
    <row r="73" spans="3:18" s="45" customFormat="1"/>
    <row r="74" spans="3:18" s="45" customFormat="1"/>
    <row r="75" spans="3:18" s="45" customFormat="1"/>
    <row r="76" spans="3:18" s="45" customFormat="1"/>
    <row r="77" spans="3:18" s="45" customFormat="1"/>
    <row r="78" spans="3:18" s="45" customFormat="1"/>
    <row r="79" spans="3:18" s="45" customFormat="1"/>
    <row r="80" spans="3:18" s="45" customFormat="1"/>
    <row r="81" s="45" customFormat="1"/>
    <row r="82" s="45" customFormat="1"/>
    <row r="83" s="45" customFormat="1"/>
    <row r="84" s="45" customFormat="1"/>
    <row r="85" s="45" customFormat="1"/>
    <row r="86" s="45" customFormat="1"/>
    <row r="87" s="45" customFormat="1"/>
    <row r="88" s="45" customFormat="1"/>
    <row r="89" s="45" customFormat="1"/>
    <row r="90" s="45" customFormat="1"/>
    <row r="91" s="45" customFormat="1"/>
    <row r="92" s="45" customFormat="1"/>
    <row r="93" s="45" customFormat="1"/>
    <row r="94" s="45" customFormat="1"/>
  </sheetData>
  <sheetProtection algorithmName="SHA-512" hashValue="rBdg8dFT3TqGpQRoIChEzzPkwlbPA717AMLN03tBEegpDkoC6mojfzpbk5FhaJI+jc/fdzLzqr7eu8j4w/sk4g==" saltValue="bTGC/us1j2wl4SL4j3a89Q==" spinCount="100000" sheet="1" objects="1" scenarios="1"/>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3060-86E1-8741-8190-B7E49B6C38D9}">
  <dimension ref="C3:AD18"/>
  <sheetViews>
    <sheetView zoomScale="64" workbookViewId="0">
      <selection activeCell="J11" sqref="J11"/>
    </sheetView>
  </sheetViews>
  <sheetFormatPr baseColWidth="10" defaultRowHeight="16"/>
  <cols>
    <col min="1" max="1" width="5" style="57" customWidth="1"/>
    <col min="2" max="2" width="4.6640625" style="57" customWidth="1"/>
    <col min="3" max="3" width="13.33203125" style="57" customWidth="1"/>
    <col min="4" max="23" width="16.33203125" style="57" customWidth="1"/>
    <col min="24" max="26" width="11.6640625" style="57" bestFit="1" customWidth="1"/>
    <col min="27" max="30" width="11" style="57" bestFit="1" customWidth="1"/>
    <col min="31" max="16384" width="10.83203125" style="57"/>
  </cols>
  <sheetData>
    <row r="3" spans="3:30">
      <c r="D3" s="57">
        <v>71</v>
      </c>
      <c r="E3" s="57">
        <f>D3+1</f>
        <v>72</v>
      </c>
      <c r="F3" s="57">
        <f t="shared" ref="F3:AD3" si="0">E3+1</f>
        <v>73</v>
      </c>
      <c r="G3" s="57">
        <f t="shared" si="0"/>
        <v>74</v>
      </c>
      <c r="H3" s="57">
        <f t="shared" si="0"/>
        <v>75</v>
      </c>
      <c r="I3" s="57">
        <f t="shared" si="0"/>
        <v>76</v>
      </c>
      <c r="J3" s="57">
        <f t="shared" si="0"/>
        <v>77</v>
      </c>
      <c r="K3" s="57">
        <f t="shared" si="0"/>
        <v>78</v>
      </c>
      <c r="L3" s="57">
        <f t="shared" si="0"/>
        <v>79</v>
      </c>
      <c r="M3" s="57">
        <f t="shared" si="0"/>
        <v>80</v>
      </c>
      <c r="N3" s="57">
        <f t="shared" si="0"/>
        <v>81</v>
      </c>
      <c r="O3" s="57">
        <f t="shared" si="0"/>
        <v>82</v>
      </c>
      <c r="P3" s="57">
        <f t="shared" si="0"/>
        <v>83</v>
      </c>
      <c r="Q3" s="57">
        <f t="shared" si="0"/>
        <v>84</v>
      </c>
      <c r="R3" s="57">
        <f t="shared" si="0"/>
        <v>85</v>
      </c>
      <c r="S3" s="57">
        <f t="shared" si="0"/>
        <v>86</v>
      </c>
      <c r="T3" s="57">
        <f t="shared" si="0"/>
        <v>87</v>
      </c>
      <c r="U3" s="57">
        <f t="shared" si="0"/>
        <v>88</v>
      </c>
      <c r="V3" s="57">
        <f t="shared" si="0"/>
        <v>89</v>
      </c>
      <c r="W3" s="57">
        <f t="shared" si="0"/>
        <v>90</v>
      </c>
      <c r="X3" s="57">
        <f t="shared" si="0"/>
        <v>91</v>
      </c>
      <c r="Y3" s="57">
        <f t="shared" si="0"/>
        <v>92</v>
      </c>
      <c r="Z3" s="57">
        <f t="shared" si="0"/>
        <v>93</v>
      </c>
      <c r="AA3" s="57">
        <f t="shared" si="0"/>
        <v>94</v>
      </c>
      <c r="AB3" s="57">
        <f t="shared" si="0"/>
        <v>95</v>
      </c>
      <c r="AC3" s="57">
        <f t="shared" si="0"/>
        <v>96</v>
      </c>
      <c r="AD3" s="57">
        <f t="shared" si="0"/>
        <v>97</v>
      </c>
    </row>
    <row r="4" spans="3:30">
      <c r="C4" s="57" t="s">
        <v>50</v>
      </c>
      <c r="D4" s="57">
        <v>1035000</v>
      </c>
      <c r="E4" s="57">
        <f>D7</f>
        <v>1035464.7219483615</v>
      </c>
      <c r="F4" s="57">
        <f t="shared" ref="F4:O4" si="1">E7</f>
        <v>1032245.2630970536</v>
      </c>
      <c r="G4" s="57">
        <f t="shared" si="1"/>
        <v>1024889.4049388346</v>
      </c>
      <c r="H4" s="57">
        <f t="shared" si="1"/>
        <v>1012902.9436150424</v>
      </c>
      <c r="I4" s="57">
        <f t="shared" si="1"/>
        <v>995746.19006919698</v>
      </c>
      <c r="J4" s="57">
        <f t="shared" si="1"/>
        <v>972830.19396032719</v>
      </c>
      <c r="K4" s="57">
        <f t="shared" si="1"/>
        <v>943512.67020478297</v>
      </c>
      <c r="L4" s="57">
        <f t="shared" si="1"/>
        <v>907093.60542962968</v>
      </c>
      <c r="M4" s="57">
        <f t="shared" si="1"/>
        <v>862810.51991751499</v>
      </c>
      <c r="N4" s="57">
        <f t="shared" si="1"/>
        <v>809833.35879352607</v>
      </c>
      <c r="O4" s="57">
        <f t="shared" si="1"/>
        <v>747258.98423972831</v>
      </c>
      <c r="P4" s="57">
        <f t="shared" ref="P4:Z4" si="2">O7</f>
        <v>674105.23841285508</v>
      </c>
      <c r="Q4" s="57">
        <f t="shared" si="2"/>
        <v>589304.54447431513</v>
      </c>
      <c r="R4" s="57">
        <f t="shared" si="2"/>
        <v>491697.0107078423</v>
      </c>
      <c r="S4" s="57">
        <f t="shared" si="2"/>
        <v>380023.00008643995</v>
      </c>
      <c r="T4" s="57">
        <f t="shared" si="2"/>
        <v>252915.12484356423</v>
      </c>
      <c r="U4" s="57">
        <f t="shared" si="2"/>
        <v>108889.62258959896</v>
      </c>
      <c r="V4" s="57">
        <f t="shared" si="2"/>
        <v>-53662.932721599005</v>
      </c>
      <c r="W4" s="57">
        <f t="shared" si="2"/>
        <v>-236487.63514626151</v>
      </c>
      <c r="X4" s="57">
        <f t="shared" si="2"/>
        <v>-441476.02032568189</v>
      </c>
      <c r="Y4" s="57">
        <f t="shared" si="2"/>
        <v>-670677.66618997161</v>
      </c>
      <c r="Z4" s="57">
        <f t="shared" si="2"/>
        <v>-926312.68299911614</v>
      </c>
    </row>
    <row r="5" spans="3:30">
      <c r="C5" s="57" t="s">
        <v>14</v>
      </c>
      <c r="D5" s="57">
        <v>6000</v>
      </c>
      <c r="E5" s="57">
        <f>D5*1.05</f>
        <v>6300</v>
      </c>
      <c r="F5" s="57">
        <f t="shared" ref="F5:O5" si="3">E5*1.05</f>
        <v>6615</v>
      </c>
      <c r="G5" s="57">
        <f t="shared" si="3"/>
        <v>6945.75</v>
      </c>
      <c r="H5" s="57">
        <f t="shared" si="3"/>
        <v>7293.0375000000004</v>
      </c>
      <c r="I5" s="57">
        <f t="shared" si="3"/>
        <v>7657.6893750000008</v>
      </c>
      <c r="J5" s="57">
        <f t="shared" si="3"/>
        <v>8040.5738437500013</v>
      </c>
      <c r="K5" s="57">
        <f t="shared" si="3"/>
        <v>8442.6025359375017</v>
      </c>
      <c r="L5" s="57">
        <f t="shared" si="3"/>
        <v>8864.7326627343773</v>
      </c>
      <c r="M5" s="57">
        <f t="shared" si="3"/>
        <v>9307.9692958710966</v>
      </c>
      <c r="N5" s="57">
        <f t="shared" si="3"/>
        <v>9773.3677606646525</v>
      </c>
      <c r="O5" s="57">
        <f t="shared" si="3"/>
        <v>10262.036148697885</v>
      </c>
      <c r="P5" s="57">
        <f t="shared" ref="P5:Z5" si="4">O5*1.05</f>
        <v>10775.137956132779</v>
      </c>
      <c r="Q5" s="57">
        <f t="shared" si="4"/>
        <v>11313.894853939419</v>
      </c>
      <c r="R5" s="57">
        <f t="shared" si="4"/>
        <v>11879.58959663639</v>
      </c>
      <c r="S5" s="57">
        <f t="shared" si="4"/>
        <v>12473.569076468209</v>
      </c>
      <c r="T5" s="57">
        <f t="shared" si="4"/>
        <v>13097.247530291621</v>
      </c>
      <c r="U5" s="57">
        <f t="shared" si="4"/>
        <v>13752.109906806203</v>
      </c>
      <c r="V5" s="57">
        <f t="shared" si="4"/>
        <v>14439.715402146514</v>
      </c>
      <c r="W5" s="57">
        <f t="shared" si="4"/>
        <v>15161.701172253841</v>
      </c>
      <c r="X5" s="57">
        <f t="shared" si="4"/>
        <v>15919.786230866534</v>
      </c>
      <c r="Y5" s="57">
        <f t="shared" si="4"/>
        <v>16715.775542409861</v>
      </c>
      <c r="Z5" s="57">
        <f t="shared" si="4"/>
        <v>17551.564319530356</v>
      </c>
    </row>
    <row r="6" spans="3:30">
      <c r="C6" s="57" t="s">
        <v>45</v>
      </c>
      <c r="D6" s="57">
        <v>7.0000000000000007E-2</v>
      </c>
      <c r="E6" s="58">
        <f>D6</f>
        <v>7.0000000000000007E-2</v>
      </c>
      <c r="F6" s="58">
        <f t="shared" ref="F6:O6" si="5">E6</f>
        <v>7.0000000000000007E-2</v>
      </c>
      <c r="G6" s="58">
        <f t="shared" si="5"/>
        <v>7.0000000000000007E-2</v>
      </c>
      <c r="H6" s="58">
        <f t="shared" si="5"/>
        <v>7.0000000000000007E-2</v>
      </c>
      <c r="I6" s="58">
        <f t="shared" si="5"/>
        <v>7.0000000000000007E-2</v>
      </c>
      <c r="J6" s="58">
        <f t="shared" si="5"/>
        <v>7.0000000000000007E-2</v>
      </c>
      <c r="K6" s="58">
        <f t="shared" si="5"/>
        <v>7.0000000000000007E-2</v>
      </c>
      <c r="L6" s="58">
        <f t="shared" si="5"/>
        <v>7.0000000000000007E-2</v>
      </c>
      <c r="M6" s="58">
        <f t="shared" si="5"/>
        <v>7.0000000000000007E-2</v>
      </c>
      <c r="N6" s="58">
        <f t="shared" si="5"/>
        <v>7.0000000000000007E-2</v>
      </c>
      <c r="O6" s="58">
        <f t="shared" si="5"/>
        <v>7.0000000000000007E-2</v>
      </c>
      <c r="P6" s="58">
        <f t="shared" ref="P6:Z6" si="6">O6</f>
        <v>7.0000000000000007E-2</v>
      </c>
      <c r="Q6" s="58">
        <f t="shared" si="6"/>
        <v>7.0000000000000007E-2</v>
      </c>
      <c r="R6" s="58">
        <f t="shared" si="6"/>
        <v>7.0000000000000007E-2</v>
      </c>
      <c r="S6" s="58">
        <f t="shared" si="6"/>
        <v>7.0000000000000007E-2</v>
      </c>
      <c r="T6" s="58">
        <f t="shared" si="6"/>
        <v>7.0000000000000007E-2</v>
      </c>
      <c r="U6" s="58">
        <f t="shared" si="6"/>
        <v>7.0000000000000007E-2</v>
      </c>
      <c r="V6" s="58">
        <f t="shared" si="6"/>
        <v>7.0000000000000007E-2</v>
      </c>
      <c r="W6" s="58">
        <f t="shared" si="6"/>
        <v>7.0000000000000007E-2</v>
      </c>
      <c r="X6" s="58">
        <f t="shared" si="6"/>
        <v>7.0000000000000007E-2</v>
      </c>
      <c r="Y6" s="58">
        <f t="shared" si="6"/>
        <v>7.0000000000000007E-2</v>
      </c>
      <c r="Z6" s="58">
        <f t="shared" si="6"/>
        <v>7.0000000000000007E-2</v>
      </c>
    </row>
    <row r="7" spans="3:30">
      <c r="C7" s="57" t="s">
        <v>16</v>
      </c>
      <c r="D7" s="57">
        <f>FV(D6/12,12,D5,-D4)</f>
        <v>1035464.7219483615</v>
      </c>
      <c r="E7" s="57">
        <f>FV(E6/12,12,E5,-E4)</f>
        <v>1032245.2630970536</v>
      </c>
      <c r="F7" s="57">
        <f t="shared" ref="F7:O7" si="7">FV(F6/12,12,F5,-F4)</f>
        <v>1024889.4049388346</v>
      </c>
      <c r="G7" s="57">
        <f t="shared" si="7"/>
        <v>1012902.9436150424</v>
      </c>
      <c r="H7" s="57">
        <f t="shared" si="7"/>
        <v>995746.19006919698</v>
      </c>
      <c r="I7" s="57">
        <f t="shared" si="7"/>
        <v>972830.19396032719</v>
      </c>
      <c r="J7" s="57">
        <f t="shared" si="7"/>
        <v>943512.67020478297</v>
      </c>
      <c r="K7" s="57">
        <f t="shared" si="7"/>
        <v>907093.60542962968</v>
      </c>
      <c r="L7" s="57">
        <f t="shared" si="7"/>
        <v>862810.51991751499</v>
      </c>
      <c r="M7" s="57">
        <f t="shared" si="7"/>
        <v>809833.35879352607</v>
      </c>
      <c r="N7" s="57">
        <f t="shared" si="7"/>
        <v>747258.98423972831</v>
      </c>
      <c r="O7" s="57">
        <f t="shared" si="7"/>
        <v>674105.23841285508</v>
      </c>
      <c r="P7" s="57">
        <f t="shared" ref="P7" si="8">FV(P6/12,12,P5,-P4)</f>
        <v>589304.54447431513</v>
      </c>
      <c r="Q7" s="57">
        <f t="shared" ref="Q7" si="9">FV(Q6/12,12,Q5,-Q4)</f>
        <v>491697.0107078423</v>
      </c>
      <c r="R7" s="57">
        <f t="shared" ref="R7" si="10">FV(R6/12,12,R5,-R4)</f>
        <v>380023.00008643995</v>
      </c>
      <c r="S7" s="57">
        <f t="shared" ref="S7" si="11">FV(S6/12,12,S5,-S4)</f>
        <v>252915.12484356423</v>
      </c>
      <c r="T7" s="57">
        <f t="shared" ref="T7" si="12">FV(T6/12,12,T5,-T4)</f>
        <v>108889.62258959896</v>
      </c>
      <c r="U7" s="57">
        <f t="shared" ref="U7" si="13">FV(U6/12,12,U5,-U4)</f>
        <v>-53662.932721599005</v>
      </c>
      <c r="V7" s="57">
        <f t="shared" ref="V7" si="14">FV(V6/12,12,V5,-V4)</f>
        <v>-236487.63514626151</v>
      </c>
      <c r="W7" s="57">
        <f t="shared" ref="W7" si="15">FV(W6/12,12,W5,-W4)</f>
        <v>-441476.02032568189</v>
      </c>
      <c r="X7" s="57">
        <f t="shared" ref="X7" si="16">FV(X6/12,12,X5,-X4)</f>
        <v>-670677.66618997161</v>
      </c>
      <c r="Y7" s="57">
        <f t="shared" ref="Y7" si="17">FV(Y6/12,12,Y5,-Y4)</f>
        <v>-926312.68299911614</v>
      </c>
      <c r="Z7" s="57">
        <f t="shared" ref="Z7" si="18">FV(Z6/12,12,Z5,-Z4)</f>
        <v>-1210785.1595476689</v>
      </c>
    </row>
    <row r="10" spans="3:30">
      <c r="D10" s="57">
        <v>71</v>
      </c>
      <c r="E10" s="57">
        <f>D10+1</f>
        <v>72</v>
      </c>
      <c r="F10" s="57">
        <f t="shared" ref="F10:AD10" si="19">E10+1</f>
        <v>73</v>
      </c>
      <c r="G10" s="57">
        <f t="shared" si="19"/>
        <v>74</v>
      </c>
      <c r="H10" s="57">
        <f t="shared" si="19"/>
        <v>75</v>
      </c>
      <c r="I10" s="57">
        <f t="shared" si="19"/>
        <v>76</v>
      </c>
      <c r="J10" s="57">
        <f t="shared" si="19"/>
        <v>77</v>
      </c>
      <c r="K10" s="57">
        <f t="shared" si="19"/>
        <v>78</v>
      </c>
      <c r="L10" s="57">
        <f t="shared" si="19"/>
        <v>79</v>
      </c>
      <c r="M10" s="57">
        <f t="shared" si="19"/>
        <v>80</v>
      </c>
      <c r="N10" s="57">
        <f t="shared" si="19"/>
        <v>81</v>
      </c>
      <c r="O10" s="57">
        <f t="shared" si="19"/>
        <v>82</v>
      </c>
      <c r="P10" s="57">
        <f t="shared" si="19"/>
        <v>83</v>
      </c>
      <c r="Q10" s="57">
        <f t="shared" si="19"/>
        <v>84</v>
      </c>
      <c r="R10" s="57">
        <f t="shared" si="19"/>
        <v>85</v>
      </c>
      <c r="S10" s="57">
        <f t="shared" si="19"/>
        <v>86</v>
      </c>
      <c r="T10" s="57">
        <f t="shared" si="19"/>
        <v>87</v>
      </c>
      <c r="U10" s="57">
        <f t="shared" si="19"/>
        <v>88</v>
      </c>
      <c r="V10" s="57">
        <f t="shared" si="19"/>
        <v>89</v>
      </c>
      <c r="W10" s="57">
        <f t="shared" si="19"/>
        <v>90</v>
      </c>
      <c r="X10" s="57">
        <f t="shared" si="19"/>
        <v>91</v>
      </c>
      <c r="Y10" s="57">
        <f t="shared" si="19"/>
        <v>92</v>
      </c>
      <c r="Z10" s="57">
        <f t="shared" si="19"/>
        <v>93</v>
      </c>
      <c r="AA10" s="57">
        <f t="shared" si="19"/>
        <v>94</v>
      </c>
      <c r="AB10" s="57">
        <f t="shared" si="19"/>
        <v>95</v>
      </c>
      <c r="AC10" s="57">
        <f t="shared" si="19"/>
        <v>96</v>
      </c>
      <c r="AD10" s="57">
        <f t="shared" si="19"/>
        <v>97</v>
      </c>
    </row>
    <row r="11" spans="3:30">
      <c r="C11" s="57" t="s">
        <v>50</v>
      </c>
      <c r="D11" s="57">
        <v>1035000</v>
      </c>
      <c r="E11" s="57">
        <f>D14</f>
        <v>985894.38078979973</v>
      </c>
      <c r="F11" s="57">
        <f t="shared" ref="F11:Z11" si="20">E14</f>
        <v>927042.61975157843</v>
      </c>
      <c r="G11" s="57">
        <f t="shared" si="20"/>
        <v>857430.3528723109</v>
      </c>
      <c r="H11" s="57">
        <f t="shared" si="20"/>
        <v>775954.39695084095</v>
      </c>
      <c r="I11" s="57">
        <f t="shared" si="20"/>
        <v>681415.55431500892</v>
      </c>
      <c r="J11" s="57">
        <f t="shared" si="20"/>
        <v>572510.85866436956</v>
      </c>
      <c r="K11" s="57">
        <f t="shared" si="20"/>
        <v>447825.21970108332</v>
      </c>
      <c r="L11" s="57">
        <f t="shared" si="20"/>
        <v>305822.4210541693</v>
      </c>
      <c r="M11" s="57">
        <f t="shared" si="20"/>
        <v>144835.42261182977</v>
      </c>
      <c r="N11" s="57">
        <f t="shared" si="20"/>
        <v>-36944.085264108988</v>
      </c>
      <c r="O11" s="57">
        <f t="shared" si="20"/>
        <v>-241476.93207677588</v>
      </c>
      <c r="P11" s="57">
        <f t="shared" si="20"/>
        <v>-470888.58271837479</v>
      </c>
      <c r="Q11" s="57">
        <f t="shared" si="20"/>
        <v>-727482.18331906013</v>
      </c>
      <c r="R11" s="57">
        <f t="shared" si="20"/>
        <v>-1013752.6073984465</v>
      </c>
      <c r="S11" s="57">
        <f t="shared" si="20"/>
        <v>-1332401.5774925698</v>
      </c>
      <c r="T11" s="57">
        <f t="shared" si="20"/>
        <v>-1686353.9430064068</v>
      </c>
      <c r="U11" s="57">
        <f t="shared" si="20"/>
        <v>-2078775.2010296914</v>
      </c>
      <c r="V11" s="57">
        <f t="shared" si="20"/>
        <v>-2513090.353281741</v>
      </c>
      <c r="W11" s="57">
        <f t="shared" si="20"/>
        <v>-2993004.1992515633</v>
      </c>
      <c r="X11" s="57">
        <f t="shared" si="20"/>
        <v>-3522523.1730071744</v>
      </c>
      <c r="Y11" s="57">
        <f t="shared" si="20"/>
        <v>-4105978.8390999222</v>
      </c>
      <c r="Z11" s="57">
        <f t="shared" si="20"/>
        <v>-4748053.1715254486</v>
      </c>
    </row>
    <row r="12" spans="3:30">
      <c r="C12" s="57" t="s">
        <v>14</v>
      </c>
      <c r="D12" s="57">
        <v>10000</v>
      </c>
      <c r="E12" s="57">
        <f>D12*1.05</f>
        <v>10500</v>
      </c>
      <c r="F12" s="57">
        <f t="shared" ref="F12:Z12" si="21">E12*1.05</f>
        <v>11025</v>
      </c>
      <c r="G12" s="57">
        <f t="shared" si="21"/>
        <v>11576.25</v>
      </c>
      <c r="H12" s="57">
        <f t="shared" si="21"/>
        <v>12155.0625</v>
      </c>
      <c r="I12" s="57">
        <f t="shared" si="21"/>
        <v>12762.815625000001</v>
      </c>
      <c r="J12" s="57">
        <f t="shared" si="21"/>
        <v>13400.956406250001</v>
      </c>
      <c r="K12" s="57">
        <f t="shared" si="21"/>
        <v>14071.004226562502</v>
      </c>
      <c r="L12" s="57">
        <f t="shared" si="21"/>
        <v>14774.554437890627</v>
      </c>
      <c r="M12" s="57">
        <f t="shared" si="21"/>
        <v>15513.28215978516</v>
      </c>
      <c r="N12" s="57">
        <f t="shared" si="21"/>
        <v>16288.946267774418</v>
      </c>
      <c r="O12" s="57">
        <f t="shared" si="21"/>
        <v>17103.393581163138</v>
      </c>
      <c r="P12" s="57">
        <f t="shared" si="21"/>
        <v>17958.563260221297</v>
      </c>
      <c r="Q12" s="57">
        <f t="shared" si="21"/>
        <v>18856.491423232364</v>
      </c>
      <c r="R12" s="57">
        <f t="shared" si="21"/>
        <v>19799.315994393983</v>
      </c>
      <c r="S12" s="57">
        <f t="shared" si="21"/>
        <v>20789.281794113682</v>
      </c>
      <c r="T12" s="57">
        <f t="shared" si="21"/>
        <v>21828.745883819367</v>
      </c>
      <c r="U12" s="57">
        <f t="shared" si="21"/>
        <v>22920.183178010335</v>
      </c>
      <c r="V12" s="57">
        <f t="shared" si="21"/>
        <v>24066.192336910852</v>
      </c>
      <c r="W12" s="57">
        <f t="shared" si="21"/>
        <v>25269.501953756397</v>
      </c>
      <c r="X12" s="57">
        <f t="shared" si="21"/>
        <v>26532.977051444217</v>
      </c>
      <c r="Y12" s="57">
        <f t="shared" si="21"/>
        <v>27859.62590401643</v>
      </c>
      <c r="Z12" s="57">
        <f t="shared" si="21"/>
        <v>29252.607199217251</v>
      </c>
    </row>
    <row r="13" spans="3:30">
      <c r="C13" s="57" t="s">
        <v>45</v>
      </c>
      <c r="D13" s="57">
        <v>7.0000000000000007E-2</v>
      </c>
      <c r="E13" s="58">
        <f>D13</f>
        <v>7.0000000000000007E-2</v>
      </c>
      <c r="F13" s="58">
        <f t="shared" ref="F13:Z13" si="22">E13</f>
        <v>7.0000000000000007E-2</v>
      </c>
      <c r="G13" s="58">
        <f t="shared" si="22"/>
        <v>7.0000000000000007E-2</v>
      </c>
      <c r="H13" s="58">
        <f t="shared" si="22"/>
        <v>7.0000000000000007E-2</v>
      </c>
      <c r="I13" s="58">
        <f t="shared" si="22"/>
        <v>7.0000000000000007E-2</v>
      </c>
      <c r="J13" s="58">
        <f t="shared" si="22"/>
        <v>7.0000000000000007E-2</v>
      </c>
      <c r="K13" s="58">
        <f t="shared" si="22"/>
        <v>7.0000000000000007E-2</v>
      </c>
      <c r="L13" s="58">
        <f t="shared" si="22"/>
        <v>7.0000000000000007E-2</v>
      </c>
      <c r="M13" s="58">
        <f t="shared" si="22"/>
        <v>7.0000000000000007E-2</v>
      </c>
      <c r="N13" s="58">
        <f t="shared" si="22"/>
        <v>7.0000000000000007E-2</v>
      </c>
      <c r="O13" s="58">
        <f t="shared" si="22"/>
        <v>7.0000000000000007E-2</v>
      </c>
      <c r="P13" s="58">
        <f t="shared" si="22"/>
        <v>7.0000000000000007E-2</v>
      </c>
      <c r="Q13" s="58">
        <f t="shared" si="22"/>
        <v>7.0000000000000007E-2</v>
      </c>
      <c r="R13" s="58">
        <f t="shared" si="22"/>
        <v>7.0000000000000007E-2</v>
      </c>
      <c r="S13" s="58">
        <f t="shared" si="22"/>
        <v>7.0000000000000007E-2</v>
      </c>
      <c r="T13" s="58">
        <f t="shared" si="22"/>
        <v>7.0000000000000007E-2</v>
      </c>
      <c r="U13" s="58">
        <f t="shared" si="22"/>
        <v>7.0000000000000007E-2</v>
      </c>
      <c r="V13" s="58">
        <f t="shared" si="22"/>
        <v>7.0000000000000007E-2</v>
      </c>
      <c r="W13" s="58">
        <f t="shared" si="22"/>
        <v>7.0000000000000007E-2</v>
      </c>
      <c r="X13" s="58">
        <f t="shared" si="22"/>
        <v>7.0000000000000007E-2</v>
      </c>
      <c r="Y13" s="58">
        <f t="shared" si="22"/>
        <v>7.0000000000000007E-2</v>
      </c>
      <c r="Z13" s="58">
        <f t="shared" si="22"/>
        <v>7.0000000000000007E-2</v>
      </c>
    </row>
    <row r="14" spans="3:30">
      <c r="C14" s="57" t="s">
        <v>16</v>
      </c>
      <c r="D14" s="57">
        <f>FV(D13/12,12,D12,-D11)</f>
        <v>985894.38078979973</v>
      </c>
      <c r="E14" s="57">
        <f>FV(E13/12,12,E12,-E11)</f>
        <v>927042.61975157843</v>
      </c>
      <c r="F14" s="57">
        <f t="shared" ref="F14" si="23">FV(F13/12,12,F12,-F11)</f>
        <v>857430.3528723109</v>
      </c>
      <c r="G14" s="57">
        <f t="shared" ref="G14" si="24">FV(G13/12,12,G12,-G11)</f>
        <v>775954.39695084095</v>
      </c>
      <c r="H14" s="57">
        <f t="shared" ref="H14" si="25">FV(H13/12,12,H12,-H11)</f>
        <v>681415.55431500892</v>
      </c>
      <c r="I14" s="57">
        <f t="shared" ref="I14" si="26">FV(I13/12,12,I12,-I11)</f>
        <v>572510.85866436956</v>
      </c>
      <c r="J14" s="57">
        <f t="shared" ref="J14" si="27">FV(J13/12,12,J12,-J11)</f>
        <v>447825.21970108332</v>
      </c>
      <c r="K14" s="57">
        <f t="shared" ref="K14" si="28">FV(K13/12,12,K12,-K11)</f>
        <v>305822.4210541693</v>
      </c>
      <c r="L14" s="57">
        <f t="shared" ref="L14" si="29">FV(L13/12,12,L12,-L11)</f>
        <v>144835.42261182977</v>
      </c>
      <c r="M14" s="57">
        <f t="shared" ref="M14" si="30">FV(M13/12,12,M12,-M11)</f>
        <v>-36944.085264108988</v>
      </c>
      <c r="N14" s="57">
        <f t="shared" ref="N14" si="31">FV(N13/12,12,N12,-N11)</f>
        <v>-241476.93207677588</v>
      </c>
      <c r="O14" s="57">
        <f t="shared" ref="O14" si="32">FV(O13/12,12,O12,-O11)</f>
        <v>-470888.58271837479</v>
      </c>
      <c r="P14" s="57">
        <f t="shared" ref="P14" si="33">FV(P13/12,12,P12,-P11)</f>
        <v>-727482.18331906013</v>
      </c>
      <c r="Q14" s="57">
        <f t="shared" ref="Q14" si="34">FV(Q13/12,12,Q12,-Q11)</f>
        <v>-1013752.6073984465</v>
      </c>
      <c r="R14" s="57">
        <f t="shared" ref="R14" si="35">FV(R13/12,12,R12,-R11)</f>
        <v>-1332401.5774925698</v>
      </c>
      <c r="S14" s="57">
        <f t="shared" ref="S14" si="36">FV(S13/12,12,S12,-S11)</f>
        <v>-1686353.9430064068</v>
      </c>
      <c r="T14" s="57">
        <f t="shared" ref="T14" si="37">FV(T13/12,12,T12,-T11)</f>
        <v>-2078775.2010296914</v>
      </c>
      <c r="U14" s="57">
        <f t="shared" ref="U14" si="38">FV(U13/12,12,U12,-U11)</f>
        <v>-2513090.353281741</v>
      </c>
      <c r="V14" s="57">
        <f t="shared" ref="V14" si="39">FV(V13/12,12,V12,-V11)</f>
        <v>-2993004.1992515633</v>
      </c>
      <c r="W14" s="57">
        <f t="shared" ref="W14" si="40">FV(W13/12,12,W12,-W11)</f>
        <v>-3522523.1730071744</v>
      </c>
      <c r="X14" s="57">
        <f t="shared" ref="X14" si="41">FV(X13/12,12,X12,-X11)</f>
        <v>-4105978.8390999222</v>
      </c>
      <c r="Y14" s="57">
        <f t="shared" ref="Y14" si="42">FV(Y13/12,12,Y12,-Y11)</f>
        <v>-4748053.1715254486</v>
      </c>
      <c r="Z14" s="57">
        <f t="shared" ref="Z14" si="43">FV(Z13/12,12,Z12,-Z11)</f>
        <v>-5453805.7488653809</v>
      </c>
    </row>
    <row r="16" spans="3:30">
      <c r="D16" s="57">
        <f>D10</f>
        <v>71</v>
      </c>
      <c r="E16" s="57">
        <f t="shared" ref="E16:W16" si="44">E10</f>
        <v>72</v>
      </c>
      <c r="F16" s="57">
        <f t="shared" si="44"/>
        <v>73</v>
      </c>
      <c r="G16" s="57">
        <f t="shared" si="44"/>
        <v>74</v>
      </c>
      <c r="H16" s="57">
        <f t="shared" si="44"/>
        <v>75</v>
      </c>
      <c r="I16" s="57">
        <f t="shared" si="44"/>
        <v>76</v>
      </c>
      <c r="J16" s="57">
        <f t="shared" si="44"/>
        <v>77</v>
      </c>
      <c r="K16" s="57">
        <f t="shared" si="44"/>
        <v>78</v>
      </c>
      <c r="L16" s="57">
        <f t="shared" si="44"/>
        <v>79</v>
      </c>
      <c r="M16" s="57">
        <f t="shared" si="44"/>
        <v>80</v>
      </c>
      <c r="N16" s="57">
        <f t="shared" si="44"/>
        <v>81</v>
      </c>
      <c r="O16" s="57">
        <f t="shared" si="44"/>
        <v>82</v>
      </c>
      <c r="P16" s="57">
        <f t="shared" si="44"/>
        <v>83</v>
      </c>
      <c r="Q16" s="57">
        <f t="shared" si="44"/>
        <v>84</v>
      </c>
      <c r="R16" s="57">
        <f t="shared" si="44"/>
        <v>85</v>
      </c>
      <c r="S16" s="57">
        <f t="shared" si="44"/>
        <v>86</v>
      </c>
      <c r="T16" s="57">
        <f t="shared" si="44"/>
        <v>87</v>
      </c>
      <c r="U16" s="57">
        <f t="shared" si="44"/>
        <v>88</v>
      </c>
      <c r="V16" s="57">
        <f t="shared" si="44"/>
        <v>89</v>
      </c>
      <c r="W16" s="57">
        <f t="shared" si="44"/>
        <v>90</v>
      </c>
    </row>
    <row r="17" spans="3:23">
      <c r="C17" s="57" t="s">
        <v>51</v>
      </c>
      <c r="D17" s="57">
        <f>D7</f>
        <v>1035464.7219483615</v>
      </c>
      <c r="E17" s="57">
        <f t="shared" ref="E17:T17" si="45">E7</f>
        <v>1032245.2630970536</v>
      </c>
      <c r="F17" s="57">
        <f t="shared" si="45"/>
        <v>1024889.4049388346</v>
      </c>
      <c r="G17" s="57">
        <f t="shared" si="45"/>
        <v>1012902.9436150424</v>
      </c>
      <c r="H17" s="57">
        <f t="shared" si="45"/>
        <v>995746.19006919698</v>
      </c>
      <c r="I17" s="57">
        <f t="shared" si="45"/>
        <v>972830.19396032719</v>
      </c>
      <c r="J17" s="57">
        <f t="shared" si="45"/>
        <v>943512.67020478297</v>
      </c>
      <c r="K17" s="57">
        <f t="shared" si="45"/>
        <v>907093.60542962968</v>
      </c>
      <c r="L17" s="57">
        <f t="shared" si="45"/>
        <v>862810.51991751499</v>
      </c>
      <c r="M17" s="57">
        <f t="shared" si="45"/>
        <v>809833.35879352607</v>
      </c>
      <c r="N17" s="57">
        <f t="shared" si="45"/>
        <v>747258.98423972831</v>
      </c>
      <c r="O17" s="57">
        <f t="shared" si="45"/>
        <v>674105.23841285508</v>
      </c>
      <c r="P17" s="57">
        <f t="shared" si="45"/>
        <v>589304.54447431513</v>
      </c>
      <c r="Q17" s="57">
        <f t="shared" si="45"/>
        <v>491697.0107078423</v>
      </c>
      <c r="R17" s="57">
        <f t="shared" si="45"/>
        <v>380023.00008643995</v>
      </c>
      <c r="S17" s="57">
        <f t="shared" si="45"/>
        <v>252915.12484356423</v>
      </c>
      <c r="T17" s="57">
        <f t="shared" si="45"/>
        <v>108889.62258959896</v>
      </c>
      <c r="U17" s="57">
        <v>0</v>
      </c>
      <c r="V17" s="57">
        <v>0</v>
      </c>
      <c r="W17" s="57">
        <v>0</v>
      </c>
    </row>
    <row r="18" spans="3:23">
      <c r="C18" s="57" t="s">
        <v>52</v>
      </c>
      <c r="D18" s="57">
        <f>D14</f>
        <v>985894.38078979973</v>
      </c>
      <c r="E18" s="57">
        <f t="shared" ref="E18:L18" si="46">E14</f>
        <v>927042.61975157843</v>
      </c>
      <c r="F18" s="57">
        <f t="shared" si="46"/>
        <v>857430.3528723109</v>
      </c>
      <c r="G18" s="57">
        <f t="shared" si="46"/>
        <v>775954.39695084095</v>
      </c>
      <c r="H18" s="57">
        <f t="shared" si="46"/>
        <v>681415.55431500892</v>
      </c>
      <c r="I18" s="57">
        <f t="shared" si="46"/>
        <v>572510.85866436956</v>
      </c>
      <c r="J18" s="57">
        <f t="shared" si="46"/>
        <v>447825.21970108332</v>
      </c>
      <c r="K18" s="57">
        <f t="shared" si="46"/>
        <v>305822.4210541693</v>
      </c>
      <c r="L18" s="57">
        <f t="shared" si="46"/>
        <v>144835.42261182977</v>
      </c>
      <c r="M18" s="57">
        <v>0</v>
      </c>
      <c r="N18" s="57">
        <v>0</v>
      </c>
      <c r="O18" s="57">
        <v>0</v>
      </c>
      <c r="P18" s="57">
        <v>0</v>
      </c>
      <c r="Q18" s="57">
        <v>0</v>
      </c>
      <c r="R18" s="57">
        <v>0</v>
      </c>
      <c r="S18" s="57">
        <v>0</v>
      </c>
      <c r="T18" s="57">
        <v>0</v>
      </c>
      <c r="U18" s="57">
        <v>0</v>
      </c>
      <c r="V18" s="57">
        <v>0</v>
      </c>
      <c r="W18" s="57">
        <v>0</v>
      </c>
    </row>
  </sheetData>
  <sheetProtection algorithmName="SHA-512" hashValue="sk6HSIPqxDjgHFB9FKnSYVhcr8TED1gb0IRm8RbVb3h32zMkooMte0qQxYCqJC0mn9q6Y2fai5NoTMkQYFJMHQ==" saltValue="WxH5zNrUmGI2q3EHQgCvcQ==" spinCount="100000" sheet="1" objects="1" scenarios="1"/>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A171-478B-D74E-9196-E401C427EDB2}">
  <dimension ref="B6:DD60"/>
  <sheetViews>
    <sheetView showGridLines="0" zoomScale="33" workbookViewId="0">
      <selection sqref="A1:XFD1048576"/>
    </sheetView>
  </sheetViews>
  <sheetFormatPr baseColWidth="10" defaultRowHeight="16"/>
  <cols>
    <col min="1" max="1" width="10.83203125" style="38"/>
    <col min="2" max="2" width="17" style="38" customWidth="1"/>
    <col min="3" max="4" width="11" style="38" bestFit="1" customWidth="1"/>
    <col min="5" max="7" width="10.83203125" style="38"/>
    <col min="8" max="8" width="11" style="38" bestFit="1" customWidth="1"/>
    <col min="9" max="9" width="15.6640625" style="38" customWidth="1"/>
    <col min="10" max="12" width="11" style="38" bestFit="1" customWidth="1"/>
    <col min="13" max="13" width="13.33203125" style="38" customWidth="1"/>
    <col min="14" max="15" width="14.1640625" style="38" bestFit="1" customWidth="1"/>
    <col min="16" max="16" width="14.33203125" style="38" customWidth="1"/>
    <col min="17" max="19" width="13.6640625" style="38" bestFit="1" customWidth="1"/>
    <col min="20" max="24" width="14.83203125" style="38" bestFit="1" customWidth="1"/>
    <col min="25" max="49" width="12.83203125" style="38" customWidth="1"/>
    <col min="50" max="73" width="17.83203125" style="38" customWidth="1"/>
    <col min="74" max="95" width="13.1640625" style="38" bestFit="1" customWidth="1"/>
    <col min="96" max="108" width="14.5" style="38" bestFit="1" customWidth="1"/>
    <col min="109" max="16384" width="10.83203125" style="38"/>
  </cols>
  <sheetData>
    <row r="6" spans="2:20">
      <c r="B6" s="38" t="s">
        <v>30</v>
      </c>
      <c r="C6" s="45">
        <v>500000</v>
      </c>
    </row>
    <row r="7" spans="2:20">
      <c r="B7" s="38" t="s">
        <v>2</v>
      </c>
      <c r="C7" s="46">
        <v>0.03</v>
      </c>
      <c r="H7" s="38">
        <f>IF(I7&lt;$C$6,$C$6,0)</f>
        <v>500000</v>
      </c>
      <c r="I7" s="38">
        <v>0</v>
      </c>
      <c r="J7" s="38">
        <v>226000</v>
      </c>
      <c r="L7" s="46">
        <v>0.18</v>
      </c>
      <c r="M7" s="38">
        <f t="shared" ref="M7:M13" si="0">((H7-I7)*L7)+K7</f>
        <v>90000</v>
      </c>
      <c r="O7" s="38">
        <f>IF(I7&lt;$I$33,$I$33,0)</f>
        <v>932445.23512800003</v>
      </c>
      <c r="P7" s="38">
        <v>0</v>
      </c>
      <c r="Q7" s="38">
        <v>226000</v>
      </c>
      <c r="S7" s="46">
        <v>0.18</v>
      </c>
      <c r="T7" s="38">
        <f t="shared" ref="T7:T8" si="1">((O7-P7)*S7)+R7</f>
        <v>167840.14232304</v>
      </c>
    </row>
    <row r="8" spans="2:20">
      <c r="B8" s="38" t="s">
        <v>31</v>
      </c>
      <c r="C8" s="46">
        <v>0.1</v>
      </c>
      <c r="H8" s="38">
        <f t="shared" ref="H8:H12" si="2">IF(I8&lt;$C$6,$C$6,0)</f>
        <v>500000</v>
      </c>
      <c r="I8" s="38">
        <f>J7</f>
        <v>226000</v>
      </c>
      <c r="J8" s="38">
        <v>353100</v>
      </c>
      <c r="K8" s="38">
        <v>40680</v>
      </c>
      <c r="L8" s="46">
        <v>0.26</v>
      </c>
      <c r="M8" s="38">
        <f t="shared" si="0"/>
        <v>111920</v>
      </c>
      <c r="O8" s="38">
        <f t="shared" ref="O8:O13" si="3">IF(I8&lt;$I$33,$I$33,0)</f>
        <v>932445.23512800003</v>
      </c>
      <c r="P8" s="38">
        <f>Q7</f>
        <v>226000</v>
      </c>
      <c r="Q8" s="38">
        <v>353100</v>
      </c>
      <c r="R8" s="38">
        <v>40680</v>
      </c>
      <c r="S8" s="46">
        <v>0.26</v>
      </c>
      <c r="T8" s="38">
        <f t="shared" si="1"/>
        <v>224355.76113328</v>
      </c>
    </row>
    <row r="9" spans="2:20">
      <c r="B9" s="38" t="s">
        <v>6</v>
      </c>
      <c r="C9" s="38">
        <v>30</v>
      </c>
      <c r="H9" s="38">
        <f t="shared" si="2"/>
        <v>500000</v>
      </c>
      <c r="I9" s="38">
        <f t="shared" ref="I9:I13" si="4">J8</f>
        <v>353100</v>
      </c>
      <c r="J9" s="38">
        <v>488700</v>
      </c>
      <c r="K9" s="38">
        <v>73726</v>
      </c>
      <c r="L9" s="46">
        <v>0.31</v>
      </c>
      <c r="M9" s="38">
        <f>((H9-I9)*L9)+K9</f>
        <v>119265</v>
      </c>
      <c r="O9" s="38">
        <f t="shared" si="3"/>
        <v>932445.23512800003</v>
      </c>
      <c r="P9" s="38">
        <f t="shared" ref="P9:P13" si="5">Q8</f>
        <v>353100</v>
      </c>
      <c r="Q9" s="38">
        <v>488700</v>
      </c>
      <c r="R9" s="38">
        <v>73726</v>
      </c>
      <c r="S9" s="46">
        <v>0.31</v>
      </c>
      <c r="T9" s="38">
        <f>((O9-P9)*S9)+R9</f>
        <v>253323.02288968</v>
      </c>
    </row>
    <row r="10" spans="2:20">
      <c r="H10" s="38">
        <f t="shared" si="2"/>
        <v>500000</v>
      </c>
      <c r="I10" s="38">
        <f t="shared" si="4"/>
        <v>488700</v>
      </c>
      <c r="J10" s="38">
        <v>641400</v>
      </c>
      <c r="K10" s="38">
        <v>115726</v>
      </c>
      <c r="L10" s="46">
        <v>0.36</v>
      </c>
      <c r="M10" s="38">
        <f t="shared" si="0"/>
        <v>119794</v>
      </c>
      <c r="O10" s="38">
        <f t="shared" si="3"/>
        <v>932445.23512800003</v>
      </c>
      <c r="P10" s="38">
        <f t="shared" si="5"/>
        <v>488700</v>
      </c>
      <c r="Q10" s="38">
        <v>641400</v>
      </c>
      <c r="R10" s="38">
        <v>115726</v>
      </c>
      <c r="S10" s="46">
        <v>0.36</v>
      </c>
      <c r="T10" s="38">
        <f t="shared" ref="T10:T13" si="6">((O10-P10)*S10)+R10</f>
        <v>275474.28464607999</v>
      </c>
    </row>
    <row r="11" spans="2:20">
      <c r="H11" s="38">
        <f t="shared" si="2"/>
        <v>0</v>
      </c>
      <c r="I11" s="38">
        <f t="shared" si="4"/>
        <v>641400</v>
      </c>
      <c r="J11" s="38">
        <v>817600</v>
      </c>
      <c r="K11" s="38">
        <v>170734</v>
      </c>
      <c r="L11" s="46">
        <v>0.39</v>
      </c>
      <c r="M11" s="38">
        <f t="shared" si="0"/>
        <v>-79412</v>
      </c>
      <c r="O11" s="38">
        <f t="shared" si="3"/>
        <v>932445.23512800003</v>
      </c>
      <c r="P11" s="38">
        <f t="shared" si="5"/>
        <v>641400</v>
      </c>
      <c r="Q11" s="38">
        <v>817600</v>
      </c>
      <c r="R11" s="38">
        <v>170734</v>
      </c>
      <c r="S11" s="46">
        <v>0.39</v>
      </c>
      <c r="T11" s="38">
        <f t="shared" si="6"/>
        <v>284241.64169992</v>
      </c>
    </row>
    <row r="12" spans="2:20">
      <c r="H12" s="38">
        <f t="shared" si="2"/>
        <v>0</v>
      </c>
      <c r="I12" s="38">
        <f t="shared" si="4"/>
        <v>817600</v>
      </c>
      <c r="J12" s="38">
        <v>1731600</v>
      </c>
      <c r="K12" s="38">
        <v>239452</v>
      </c>
      <c r="L12" s="46">
        <v>0.41</v>
      </c>
      <c r="M12" s="38">
        <f t="shared" si="0"/>
        <v>-95764</v>
      </c>
      <c r="O12" s="38">
        <f t="shared" si="3"/>
        <v>932445.23512800003</v>
      </c>
      <c r="P12" s="38">
        <f t="shared" si="5"/>
        <v>817600</v>
      </c>
      <c r="Q12" s="38">
        <v>1731600</v>
      </c>
      <c r="R12" s="38">
        <v>239452</v>
      </c>
      <c r="S12" s="46">
        <v>0.41</v>
      </c>
      <c r="T12" s="38">
        <f t="shared" si="6"/>
        <v>286538.54640247999</v>
      </c>
    </row>
    <row r="13" spans="2:20">
      <c r="H13" s="38">
        <f>IF(I13&lt;$C$6,$C$6,0)</f>
        <v>0</v>
      </c>
      <c r="I13" s="38">
        <f t="shared" si="4"/>
        <v>1731600</v>
      </c>
      <c r="J13" s="38">
        <v>5000000</v>
      </c>
      <c r="K13" s="38">
        <v>614192</v>
      </c>
      <c r="L13" s="46">
        <v>0.45</v>
      </c>
      <c r="M13" s="38">
        <f t="shared" si="0"/>
        <v>-165028</v>
      </c>
      <c r="O13" s="38">
        <f t="shared" si="3"/>
        <v>0</v>
      </c>
      <c r="P13" s="38">
        <f t="shared" si="5"/>
        <v>1731600</v>
      </c>
      <c r="Q13" s="38">
        <v>5000000</v>
      </c>
      <c r="R13" s="38">
        <v>614192</v>
      </c>
      <c r="S13" s="46">
        <v>0.45</v>
      </c>
      <c r="T13" s="38">
        <f t="shared" si="6"/>
        <v>-165028</v>
      </c>
    </row>
    <row r="15" spans="2:20">
      <c r="M15" s="38">
        <f>LARGE(M7:M13,1)</f>
        <v>119794</v>
      </c>
      <c r="T15" s="41">
        <f>LARGE(T7:T13,1)</f>
        <v>286538.54640247999</v>
      </c>
    </row>
    <row r="16" spans="2:20">
      <c r="M16" s="45">
        <f>C6</f>
        <v>500000</v>
      </c>
      <c r="T16" s="45">
        <f>I29</f>
        <v>630206</v>
      </c>
    </row>
    <row r="17" spans="2:73">
      <c r="M17" s="42">
        <f>M15/M16</f>
        <v>0.239588</v>
      </c>
      <c r="T17" s="42">
        <f>T15/T16</f>
        <v>0.45467441821004556</v>
      </c>
    </row>
    <row r="19" spans="2:73">
      <c r="B19" s="38" t="str">
        <f>I19</f>
        <v>Reinvest CPI</v>
      </c>
      <c r="I19" s="38" t="s">
        <v>32</v>
      </c>
      <c r="M19" s="42">
        <f>M17+24%</f>
        <v>0.47958800000000001</v>
      </c>
    </row>
    <row r="20" spans="2:73" ht="17" thickBot="1"/>
    <row r="21" spans="2:73" ht="17" thickBot="1">
      <c r="B21" s="47">
        <f t="shared" ref="B21:B37" si="7">I21</f>
        <v>380206</v>
      </c>
      <c r="C21" s="38" t="str">
        <f t="shared" ref="C21:C37" si="8">J21</f>
        <v>Net</v>
      </c>
      <c r="D21" s="48">
        <f>B21/12</f>
        <v>31683.833333333332</v>
      </c>
      <c r="I21" s="45">
        <f>C6-M15</f>
        <v>380206</v>
      </c>
      <c r="J21" s="38" t="s">
        <v>33</v>
      </c>
    </row>
    <row r="22" spans="2:73">
      <c r="B22" s="47"/>
    </row>
    <row r="23" spans="2:73">
      <c r="B23" s="47">
        <f t="shared" si="7"/>
        <v>5000000</v>
      </c>
      <c r="C23" s="38" t="str">
        <f t="shared" si="8"/>
        <v>Income</v>
      </c>
      <c r="I23" s="45">
        <f>C6/C8</f>
        <v>5000000</v>
      </c>
      <c r="J23" s="38" t="s">
        <v>14</v>
      </c>
    </row>
    <row r="24" spans="2:73">
      <c r="B24" s="47"/>
      <c r="N24" s="38">
        <f>C9+10</f>
        <v>40</v>
      </c>
      <c r="O24" s="38">
        <f>N24+1</f>
        <v>41</v>
      </c>
      <c r="P24" s="38">
        <f t="shared" ref="P24:S24" si="9">O24+1</f>
        <v>42</v>
      </c>
      <c r="Q24" s="38">
        <f t="shared" si="9"/>
        <v>43</v>
      </c>
      <c r="R24" s="38">
        <f t="shared" si="9"/>
        <v>44</v>
      </c>
      <c r="S24" s="38">
        <f t="shared" si="9"/>
        <v>45</v>
      </c>
      <c r="T24" s="38">
        <f t="shared" ref="T24:X24" si="10">S24+1</f>
        <v>46</v>
      </c>
      <c r="U24" s="38">
        <f t="shared" si="10"/>
        <v>47</v>
      </c>
      <c r="V24" s="38">
        <f t="shared" si="10"/>
        <v>48</v>
      </c>
      <c r="W24" s="38">
        <f t="shared" si="10"/>
        <v>49</v>
      </c>
      <c r="X24" s="38">
        <f t="shared" si="10"/>
        <v>50</v>
      </c>
      <c r="Y24" s="38">
        <f t="shared" ref="Y24:AX24" si="11">X24+1</f>
        <v>51</v>
      </c>
      <c r="Z24" s="38">
        <f t="shared" si="11"/>
        <v>52</v>
      </c>
      <c r="AA24" s="38">
        <f t="shared" si="11"/>
        <v>53</v>
      </c>
      <c r="AB24" s="38">
        <f t="shared" si="11"/>
        <v>54</v>
      </c>
      <c r="AC24" s="38">
        <f t="shared" si="11"/>
        <v>55</v>
      </c>
      <c r="AD24" s="38">
        <f t="shared" si="11"/>
        <v>56</v>
      </c>
      <c r="AE24" s="38">
        <f t="shared" si="11"/>
        <v>57</v>
      </c>
      <c r="AF24" s="38">
        <f t="shared" si="11"/>
        <v>58</v>
      </c>
      <c r="AG24" s="38">
        <f t="shared" si="11"/>
        <v>59</v>
      </c>
      <c r="AH24" s="38">
        <f t="shared" si="11"/>
        <v>60</v>
      </c>
      <c r="AI24" s="38">
        <f t="shared" si="11"/>
        <v>61</v>
      </c>
      <c r="AJ24" s="38">
        <f t="shared" si="11"/>
        <v>62</v>
      </c>
      <c r="AK24" s="38">
        <f t="shared" si="11"/>
        <v>63</v>
      </c>
      <c r="AL24" s="38">
        <f t="shared" si="11"/>
        <v>64</v>
      </c>
      <c r="AM24" s="38">
        <f t="shared" si="11"/>
        <v>65</v>
      </c>
      <c r="AN24" s="38">
        <f t="shared" si="11"/>
        <v>66</v>
      </c>
      <c r="AO24" s="38">
        <f t="shared" si="11"/>
        <v>67</v>
      </c>
      <c r="AP24" s="38">
        <f t="shared" si="11"/>
        <v>68</v>
      </c>
      <c r="AQ24" s="38">
        <f t="shared" si="11"/>
        <v>69</v>
      </c>
      <c r="AR24" s="38">
        <f t="shared" si="11"/>
        <v>70</v>
      </c>
      <c r="AS24" s="38">
        <f t="shared" si="11"/>
        <v>71</v>
      </c>
      <c r="AT24" s="38">
        <f t="shared" si="11"/>
        <v>72</v>
      </c>
      <c r="AU24" s="38">
        <f t="shared" si="11"/>
        <v>73</v>
      </c>
      <c r="AV24" s="38">
        <f t="shared" si="11"/>
        <v>74</v>
      </c>
      <c r="AW24" s="38">
        <f t="shared" si="11"/>
        <v>75</v>
      </c>
      <c r="AX24" s="38">
        <f t="shared" si="11"/>
        <v>76</v>
      </c>
      <c r="AY24" s="38">
        <f t="shared" ref="AY24:BU24" si="12">AX24+1</f>
        <v>77</v>
      </c>
      <c r="AZ24" s="38">
        <f t="shared" si="12"/>
        <v>78</v>
      </c>
      <c r="BA24" s="38">
        <f t="shared" si="12"/>
        <v>79</v>
      </c>
      <c r="BB24" s="38">
        <f t="shared" si="12"/>
        <v>80</v>
      </c>
      <c r="BC24" s="38">
        <f t="shared" si="12"/>
        <v>81</v>
      </c>
      <c r="BD24" s="38">
        <f t="shared" si="12"/>
        <v>82</v>
      </c>
      <c r="BE24" s="38">
        <f t="shared" si="12"/>
        <v>83</v>
      </c>
      <c r="BF24" s="38">
        <f t="shared" si="12"/>
        <v>84</v>
      </c>
      <c r="BG24" s="38">
        <f t="shared" si="12"/>
        <v>85</v>
      </c>
      <c r="BH24" s="38">
        <f t="shared" si="12"/>
        <v>86</v>
      </c>
      <c r="BI24" s="38">
        <f t="shared" si="12"/>
        <v>87</v>
      </c>
      <c r="BJ24" s="38">
        <f t="shared" si="12"/>
        <v>88</v>
      </c>
      <c r="BK24" s="38">
        <f t="shared" si="12"/>
        <v>89</v>
      </c>
      <c r="BL24" s="38">
        <f t="shared" si="12"/>
        <v>90</v>
      </c>
      <c r="BM24" s="38">
        <f t="shared" si="12"/>
        <v>91</v>
      </c>
      <c r="BN24" s="38">
        <f t="shared" si="12"/>
        <v>92</v>
      </c>
      <c r="BO24" s="38">
        <f t="shared" si="12"/>
        <v>93</v>
      </c>
      <c r="BP24" s="38">
        <f t="shared" si="12"/>
        <v>94</v>
      </c>
      <c r="BQ24" s="38">
        <f t="shared" si="12"/>
        <v>95</v>
      </c>
      <c r="BR24" s="38">
        <f t="shared" si="12"/>
        <v>96</v>
      </c>
      <c r="BS24" s="38">
        <f t="shared" si="12"/>
        <v>97</v>
      </c>
      <c r="BT24" s="38">
        <f t="shared" si="12"/>
        <v>98</v>
      </c>
      <c r="BU24" s="38">
        <f t="shared" si="12"/>
        <v>99</v>
      </c>
    </row>
    <row r="25" spans="2:73">
      <c r="B25" s="47">
        <f t="shared" si="7"/>
        <v>250000</v>
      </c>
      <c r="C25" s="38" t="str">
        <f t="shared" si="8"/>
        <v>Reinvest</v>
      </c>
      <c r="I25" s="45">
        <f>I23*(2%+C7)</f>
        <v>250000</v>
      </c>
      <c r="J25" s="38" t="s">
        <v>34</v>
      </c>
      <c r="M25" s="38" t="s">
        <v>40</v>
      </c>
      <c r="N25" s="43">
        <f>I35</f>
        <v>9324452.3512800001</v>
      </c>
      <c r="O25" s="43">
        <f>N30</f>
        <v>9506207.8277672008</v>
      </c>
      <c r="P25" s="43">
        <f t="shared" ref="P25:S25" si="13">O30</f>
        <v>9683618.1591438968</v>
      </c>
      <c r="Q25" s="43">
        <f t="shared" si="13"/>
        <v>9855573.2101162635</v>
      </c>
      <c r="R25" s="43">
        <f t="shared" si="13"/>
        <v>10020831.563237604</v>
      </c>
      <c r="S25" s="43">
        <f t="shared" si="13"/>
        <v>10178006.782634372</v>
      </c>
      <c r="T25" s="43">
        <f t="shared" ref="T25:X25" si="14">S30</f>
        <v>10325552.285863005</v>
      </c>
      <c r="U25" s="43">
        <f t="shared" si="14"/>
        <v>10461744.684163457</v>
      </c>
      <c r="V25" s="43">
        <f t="shared" si="14"/>
        <v>10584665.43738538</v>
      </c>
      <c r="W25" s="43">
        <f t="shared" si="14"/>
        <v>10692180.654473662</v>
      </c>
      <c r="X25" s="43">
        <f t="shared" si="14"/>
        <v>10781918.853471264</v>
      </c>
      <c r="Y25" s="43">
        <f t="shared" ref="Y25:AX25" si="15">X30</f>
        <v>10851246.476375133</v>
      </c>
      <c r="Z25" s="43">
        <f t="shared" si="15"/>
        <v>10897240.933696093</v>
      </c>
      <c r="AA25" s="43">
        <f t="shared" si="15"/>
        <v>10916660.93103965</v>
      </c>
      <c r="AB25" s="43">
        <f t="shared" si="15"/>
        <v>10905913.805236781</v>
      </c>
      <c r="AC25" s="43">
        <f t="shared" si="15"/>
        <v>10861019.570286419</v>
      </c>
      <c r="AD25" s="43">
        <f t="shared" si="15"/>
        <v>10777571.343376802</v>
      </c>
      <c r="AE25" s="43">
        <f t="shared" si="15"/>
        <v>10650691.788258076</v>
      </c>
      <c r="AF25" s="43">
        <f t="shared" si="15"/>
        <v>10474985.176943785</v>
      </c>
      <c r="AG25" s="43">
        <f t="shared" si="15"/>
        <v>10244484.630793862</v>
      </c>
      <c r="AH25" s="43">
        <f t="shared" si="15"/>
        <v>9952594.0581136178</v>
      </c>
      <c r="AI25" s="43">
        <f t="shared" si="15"/>
        <v>9592024.2570925597</v>
      </c>
      <c r="AJ25" s="43">
        <f t="shared" si="15"/>
        <v>9154722.5997644216</v>
      </c>
      <c r="AK25" s="43">
        <f t="shared" si="15"/>
        <v>8631795.6542123482</v>
      </c>
      <c r="AL25" s="43">
        <f t="shared" si="15"/>
        <v>8013424.0379392123</v>
      </c>
      <c r="AM25" s="43">
        <f t="shared" si="15"/>
        <v>7288768.7245879322</v>
      </c>
      <c r="AN25" s="43">
        <f t="shared" si="15"/>
        <v>6445867.9483871683</v>
      </c>
      <c r="AO25" s="43">
        <f t="shared" si="15"/>
        <v>5471523.7651065411</v>
      </c>
      <c r="AP25" s="43">
        <f t="shared" si="15"/>
        <v>4351177.23415427</v>
      </c>
      <c r="AQ25" s="43">
        <f t="shared" si="15"/>
        <v>3068771.082882884</v>
      </c>
      <c r="AR25" s="43">
        <f t="shared" si="15"/>
        <v>1606598.6002437547</v>
      </c>
      <c r="AS25" s="43">
        <f t="shared" si="15"/>
        <v>-54862.618387110269</v>
      </c>
      <c r="AT25" s="43">
        <f t="shared" si="15"/>
        <v>-1937133.5912407192</v>
      </c>
      <c r="AU25" s="43">
        <f t="shared" si="15"/>
        <v>-4063935.2027101363</v>
      </c>
      <c r="AV25" s="43">
        <f t="shared" si="15"/>
        <v>-6461409.6228968548</v>
      </c>
      <c r="AW25" s="43">
        <f t="shared" si="15"/>
        <v>-9158363.9120997172</v>
      </c>
      <c r="AX25" s="43">
        <f t="shared" si="15"/>
        <v>-12186538.03003026</v>
      </c>
      <c r="AY25" s="43">
        <f t="shared" ref="AY25:BU25" si="16">AX30</f>
        <v>-15580899.691555476</v>
      </c>
      <c r="AZ25" s="43">
        <f t="shared" si="16"/>
        <v>-19379968.754988879</v>
      </c>
      <c r="BA25" s="43">
        <f t="shared" si="16"/>
        <v>-23626174.097593959</v>
      </c>
      <c r="BB25" s="43">
        <f t="shared" si="16"/>
        <v>-28366246.228472732</v>
      </c>
      <c r="BC25" s="43">
        <f t="shared" si="16"/>
        <v>-33651649.214072965</v>
      </c>
      <c r="BD25" s="43">
        <f t="shared" si="16"/>
        <v>-39539055.849115811</v>
      </c>
      <c r="BE25" s="43">
        <f t="shared" si="16"/>
        <v>-46090870.399072006</v>
      </c>
      <c r="BF25" s="43">
        <f t="shared" si="16"/>
        <v>-53375803.672975168</v>
      </c>
      <c r="BG25" s="43">
        <f t="shared" si="16"/>
        <v>-61469505.661288522</v>
      </c>
      <c r="BH25" s="43">
        <f t="shared" si="16"/>
        <v>-70455261.497063681</v>
      </c>
      <c r="BI25" s="43">
        <f t="shared" si="16"/>
        <v>-80424757.074505746</v>
      </c>
      <c r="BJ25" s="43">
        <f t="shared" si="16"/>
        <v>-91478921.292524084</v>
      </c>
      <c r="BK25" s="43">
        <f t="shared" si="16"/>
        <v>-103728852.58766131</v>
      </c>
      <c r="BL25" s="43">
        <f t="shared" si="16"/>
        <v>-117296838.18728879</v>
      </c>
      <c r="BM25" s="43">
        <f t="shared" si="16"/>
        <v>-132317475.35710485</v>
      </c>
      <c r="BN25" s="43">
        <f t="shared" si="16"/>
        <v>-148938904.84443513</v>
      </c>
      <c r="BO25" s="43">
        <f t="shared" si="16"/>
        <v>-167324167.73904705</v>
      </c>
      <c r="BP25" s="43">
        <f t="shared" si="16"/>
        <v>-187652698.09542522</v>
      </c>
      <c r="BQ25" s="43">
        <f t="shared" si="16"/>
        <v>-210121964.8949154</v>
      </c>
      <c r="BR25" s="43">
        <f t="shared" si="16"/>
        <v>-234949278.28405306</v>
      </c>
      <c r="BS25" s="43">
        <f t="shared" si="16"/>
        <v>-262373776.51909387</v>
      </c>
      <c r="BT25" s="43">
        <f t="shared" si="16"/>
        <v>-292658611.68983781</v>
      </c>
      <c r="BU25" s="43">
        <f t="shared" si="16"/>
        <v>-326093354.10322118</v>
      </c>
    </row>
    <row r="26" spans="2:73">
      <c r="B26" s="47"/>
      <c r="M26" s="38" t="s">
        <v>14</v>
      </c>
      <c r="N26" s="43">
        <f>I33</f>
        <v>932445.23512800003</v>
      </c>
      <c r="O26" s="43">
        <f>N26*(1+$C$7)</f>
        <v>960418.5921818401</v>
      </c>
      <c r="P26" s="43">
        <f t="shared" ref="P26:S26" si="17">O26*(1+$C$7)</f>
        <v>989231.14994729531</v>
      </c>
      <c r="Q26" s="43">
        <f t="shared" si="17"/>
        <v>1018908.0844457143</v>
      </c>
      <c r="R26" s="43">
        <f t="shared" si="17"/>
        <v>1049475.3269790858</v>
      </c>
      <c r="S26" s="43">
        <f t="shared" si="17"/>
        <v>1080959.5867884585</v>
      </c>
      <c r="T26" s="43">
        <f t="shared" ref="T26:X26" si="18">S26*(1+$C$7)</f>
        <v>1113388.3743921123</v>
      </c>
      <c r="U26" s="43">
        <f t="shared" si="18"/>
        <v>1146790.0256238757</v>
      </c>
      <c r="V26" s="43">
        <f t="shared" si="18"/>
        <v>1181193.7263925921</v>
      </c>
      <c r="W26" s="43">
        <f t="shared" si="18"/>
        <v>1216629.5381843699</v>
      </c>
      <c r="X26" s="43">
        <f t="shared" si="18"/>
        <v>1253128.4243299011</v>
      </c>
      <c r="Y26" s="43">
        <f t="shared" ref="Y26:AX26" si="19">X26*(1+$C$7)</f>
        <v>1290722.2770597981</v>
      </c>
      <c r="Z26" s="43">
        <f t="shared" si="19"/>
        <v>1329443.9453715922</v>
      </c>
      <c r="AA26" s="43">
        <f t="shared" si="19"/>
        <v>1369327.26373274</v>
      </c>
      <c r="AB26" s="43">
        <f t="shared" si="19"/>
        <v>1410407.0816447223</v>
      </c>
      <c r="AC26" s="43">
        <f t="shared" si="19"/>
        <v>1452719.294094064</v>
      </c>
      <c r="AD26" s="43">
        <f t="shared" si="19"/>
        <v>1496300.8729168859</v>
      </c>
      <c r="AE26" s="43">
        <f t="shared" si="19"/>
        <v>1541189.8991043924</v>
      </c>
      <c r="AF26" s="43">
        <f t="shared" si="19"/>
        <v>1587425.5960775241</v>
      </c>
      <c r="AG26" s="43">
        <f t="shared" si="19"/>
        <v>1635048.3639598498</v>
      </c>
      <c r="AH26" s="43">
        <f t="shared" si="19"/>
        <v>1684099.8148786454</v>
      </c>
      <c r="AI26" s="43">
        <f t="shared" si="19"/>
        <v>1734622.8093250047</v>
      </c>
      <c r="AJ26" s="43">
        <f t="shared" si="19"/>
        <v>1786661.4936047548</v>
      </c>
      <c r="AK26" s="43">
        <f t="shared" si="19"/>
        <v>1840261.3384128974</v>
      </c>
      <c r="AL26" s="43">
        <f t="shared" si="19"/>
        <v>1895469.1785652845</v>
      </c>
      <c r="AM26" s="43">
        <f t="shared" si="19"/>
        <v>1952333.2539222431</v>
      </c>
      <c r="AN26" s="43">
        <f t="shared" si="19"/>
        <v>2010903.2515399104</v>
      </c>
      <c r="AO26" s="43">
        <f t="shared" si="19"/>
        <v>2071230.3490861079</v>
      </c>
      <c r="AP26" s="43">
        <f t="shared" si="19"/>
        <v>2133367.2595586912</v>
      </c>
      <c r="AQ26" s="43">
        <f t="shared" si="19"/>
        <v>2197368.277345452</v>
      </c>
      <c r="AR26" s="43">
        <f t="shared" si="19"/>
        <v>2263289.3256658157</v>
      </c>
      <c r="AS26" s="43">
        <f t="shared" si="19"/>
        <v>2331188.0054357904</v>
      </c>
      <c r="AT26" s="43">
        <f t="shared" si="19"/>
        <v>2401123.6455988642</v>
      </c>
      <c r="AU26" s="43">
        <f t="shared" si="19"/>
        <v>2473157.35496683</v>
      </c>
      <c r="AV26" s="43">
        <f t="shared" si="19"/>
        <v>2547352.0756158349</v>
      </c>
      <c r="AW26" s="43">
        <f t="shared" si="19"/>
        <v>2623772.63788431</v>
      </c>
      <c r="AX26" s="43">
        <f t="shared" si="19"/>
        <v>2702485.8170208395</v>
      </c>
      <c r="AY26" s="43">
        <f t="shared" ref="AY26:BU26" si="20">AX26*(1+$C$7)</f>
        <v>2783560.3915314646</v>
      </c>
      <c r="AZ26" s="43">
        <f t="shared" si="20"/>
        <v>2867067.2032774086</v>
      </c>
      <c r="BA26" s="43">
        <f t="shared" si="20"/>
        <v>2953079.219375731</v>
      </c>
      <c r="BB26" s="43">
        <f t="shared" si="20"/>
        <v>3041671.5959570031</v>
      </c>
      <c r="BC26" s="43">
        <f t="shared" si="20"/>
        <v>3132921.7438357132</v>
      </c>
      <c r="BD26" s="43">
        <f t="shared" si="20"/>
        <v>3226909.3961507846</v>
      </c>
      <c r="BE26" s="43">
        <f t="shared" si="20"/>
        <v>3323716.6780353081</v>
      </c>
      <c r="BF26" s="43">
        <f t="shared" si="20"/>
        <v>3423428.1783763673</v>
      </c>
      <c r="BG26" s="43">
        <f t="shared" si="20"/>
        <v>3526131.0237276582</v>
      </c>
      <c r="BH26" s="43">
        <f t="shared" si="20"/>
        <v>3631914.9544394882</v>
      </c>
      <c r="BI26" s="43">
        <f t="shared" si="20"/>
        <v>3740872.4030726729</v>
      </c>
      <c r="BJ26" s="43">
        <f t="shared" si="20"/>
        <v>3853098.5751648531</v>
      </c>
      <c r="BK26" s="43">
        <f t="shared" si="20"/>
        <v>3968691.5324197989</v>
      </c>
      <c r="BL26" s="43">
        <f t="shared" si="20"/>
        <v>4087752.2783923931</v>
      </c>
      <c r="BM26" s="43">
        <f t="shared" si="20"/>
        <v>4210384.8467441648</v>
      </c>
      <c r="BN26" s="43">
        <f t="shared" si="20"/>
        <v>4336696.3921464896</v>
      </c>
      <c r="BO26" s="43">
        <f t="shared" si="20"/>
        <v>4466797.2839108845</v>
      </c>
      <c r="BP26" s="43">
        <f t="shared" si="20"/>
        <v>4600801.2024282115</v>
      </c>
      <c r="BQ26" s="43">
        <f t="shared" si="20"/>
        <v>4738825.238501058</v>
      </c>
      <c r="BR26" s="43">
        <f t="shared" si="20"/>
        <v>4880989.9956560899</v>
      </c>
      <c r="BS26" s="43">
        <f t="shared" si="20"/>
        <v>5027419.6955257729</v>
      </c>
      <c r="BT26" s="43">
        <f t="shared" si="20"/>
        <v>5178242.286391546</v>
      </c>
      <c r="BU26" s="43">
        <f t="shared" si="20"/>
        <v>5333589.5549832927</v>
      </c>
    </row>
    <row r="27" spans="2:73">
      <c r="B27" s="47">
        <f t="shared" si="7"/>
        <v>130206</v>
      </c>
      <c r="C27" s="38" t="str">
        <f t="shared" si="8"/>
        <v>What is left</v>
      </c>
      <c r="I27" s="45">
        <f>I21-I25</f>
        <v>130206</v>
      </c>
      <c r="J27" s="38" t="s">
        <v>35</v>
      </c>
      <c r="M27" s="38" t="s">
        <v>41</v>
      </c>
      <c r="N27" s="43">
        <f>N25-N26</f>
        <v>8392007.1161519997</v>
      </c>
      <c r="O27" s="43">
        <f>O25-O26</f>
        <v>8545789.2355853599</v>
      </c>
      <c r="P27" s="43">
        <f t="shared" ref="P27:S27" si="21">P25-P26</f>
        <v>8694387.0091966018</v>
      </c>
      <c r="Q27" s="43">
        <f t="shared" si="21"/>
        <v>8836665.1256705485</v>
      </c>
      <c r="R27" s="43">
        <f t="shared" si="21"/>
        <v>8971356.236258518</v>
      </c>
      <c r="S27" s="43">
        <f t="shared" si="21"/>
        <v>9097047.1958459131</v>
      </c>
      <c r="T27" s="43">
        <f t="shared" ref="T27" si="22">T25-T26</f>
        <v>9212163.9114708919</v>
      </c>
      <c r="U27" s="43">
        <f t="shared" ref="U27" si="23">U25-U26</f>
        <v>9314954.658539582</v>
      </c>
      <c r="V27" s="43">
        <f t="shared" ref="V27:W27" si="24">V25-V26</f>
        <v>9403471.7109927889</v>
      </c>
      <c r="W27" s="43">
        <f t="shared" si="24"/>
        <v>9475551.1162892915</v>
      </c>
      <c r="X27" s="43">
        <f t="shared" ref="X27" si="25">X25-X26</f>
        <v>9528790.4291413631</v>
      </c>
      <c r="Y27" s="43">
        <f t="shared" ref="Y27" si="26">Y25-Y26</f>
        <v>9560524.1993153356</v>
      </c>
      <c r="Z27" s="43">
        <f t="shared" ref="Z27" si="27">Z25-Z26</f>
        <v>9567796.9883245006</v>
      </c>
      <c r="AA27" s="43">
        <f t="shared" ref="AA27" si="28">AA25-AA26</f>
        <v>9547333.6673069093</v>
      </c>
      <c r="AB27" s="43">
        <f t="shared" ref="AB27" si="29">AB25-AB26</f>
        <v>9495506.7235920578</v>
      </c>
      <c r="AC27" s="43">
        <f t="shared" ref="AC27" si="30">AC25-AC26</f>
        <v>9408300.2761923559</v>
      </c>
      <c r="AD27" s="43">
        <f t="shared" ref="AD27" si="31">AD25-AD26</f>
        <v>9281270.4704599157</v>
      </c>
      <c r="AE27" s="43">
        <f t="shared" ref="AE27" si="32">AE25-AE26</f>
        <v>9109501.8891536836</v>
      </c>
      <c r="AF27" s="43">
        <f t="shared" ref="AF27" si="33">AF25-AF26</f>
        <v>8887559.5808662605</v>
      </c>
      <c r="AG27" s="43">
        <f t="shared" ref="AG27" si="34">AG25-AG26</f>
        <v>8609436.2668340132</v>
      </c>
      <c r="AH27" s="43">
        <f t="shared" ref="AH27" si="35">AH25-AH26</f>
        <v>8268494.2432349725</v>
      </c>
      <c r="AI27" s="43">
        <f t="shared" ref="AI27" si="36">AI25-AI26</f>
        <v>7857401.4477675548</v>
      </c>
      <c r="AJ27" s="43">
        <f t="shared" ref="AJ27" si="37">AJ25-AJ26</f>
        <v>7368061.1061596666</v>
      </c>
      <c r="AK27" s="43">
        <f t="shared" ref="AK27" si="38">AK25-AK26</f>
        <v>6791534.3157994505</v>
      </c>
      <c r="AL27" s="43">
        <f t="shared" ref="AL27" si="39">AL25-AL26</f>
        <v>6117954.859373928</v>
      </c>
      <c r="AM27" s="43">
        <f t="shared" ref="AM27" si="40">AM25-AM26</f>
        <v>5336435.4706656896</v>
      </c>
      <c r="AN27" s="43">
        <f t="shared" ref="AN27" si="41">AN25-AN26</f>
        <v>4434964.6968472581</v>
      </c>
      <c r="AO27" s="43">
        <f t="shared" ref="AO27" si="42">AO25-AO26</f>
        <v>3400293.4160204334</v>
      </c>
      <c r="AP27" s="43">
        <f t="shared" ref="AP27" si="43">AP25-AP26</f>
        <v>2217809.9745955789</v>
      </c>
      <c r="AQ27" s="43">
        <f t="shared" ref="AQ27" si="44">AQ25-AQ26</f>
        <v>871402.80553743197</v>
      </c>
      <c r="AR27" s="43">
        <f t="shared" ref="AR27" si="45">AR25-AR26</f>
        <v>-656690.72542206105</v>
      </c>
      <c r="AS27" s="43">
        <f t="shared" ref="AS27" si="46">AS25-AS26</f>
        <v>-2386050.6238229005</v>
      </c>
      <c r="AT27" s="43">
        <f t="shared" ref="AT27" si="47">AT25-AT26</f>
        <v>-4338257.2368395831</v>
      </c>
      <c r="AU27" s="43">
        <f t="shared" ref="AU27" si="48">AU25-AU26</f>
        <v>-6537092.5576769663</v>
      </c>
      <c r="AV27" s="43">
        <f t="shared" ref="AV27" si="49">AV25-AV26</f>
        <v>-9008761.6985126901</v>
      </c>
      <c r="AW27" s="43">
        <f t="shared" ref="AW27" si="50">AW25-AW26</f>
        <v>-11782136.549984027</v>
      </c>
      <c r="AX27" s="43">
        <f t="shared" ref="AX27" si="51">AX25-AX26</f>
        <v>-14889023.847051099</v>
      </c>
      <c r="AY27" s="43">
        <f t="shared" ref="AY27" si="52">AY25-AY26</f>
        <v>-18364460.083086941</v>
      </c>
      <c r="AZ27" s="43">
        <f t="shared" ref="AZ27" si="53">AZ25-AZ26</f>
        <v>-22247035.958266288</v>
      </c>
      <c r="BA27" s="43">
        <f t="shared" ref="BA27" si="54">BA25-BA26</f>
        <v>-26579253.316969689</v>
      </c>
      <c r="BB27" s="43">
        <f t="shared" ref="BB27" si="55">BB25-BB26</f>
        <v>-31407917.824429736</v>
      </c>
      <c r="BC27" s="43">
        <f t="shared" ref="BC27" si="56">BC25-BC26</f>
        <v>-36784570.957908675</v>
      </c>
      <c r="BD27" s="43">
        <f t="shared" ref="BD27" si="57">BD25-BD26</f>
        <v>-42765965.245266594</v>
      </c>
      <c r="BE27" s="43">
        <f t="shared" ref="BE27" si="58">BE25-BE26</f>
        <v>-49414587.077107318</v>
      </c>
      <c r="BF27" s="43">
        <f t="shared" ref="BF27" si="59">BF25-BF26</f>
        <v>-56799231.851351537</v>
      </c>
      <c r="BG27" s="43">
        <f t="shared" ref="BG27" si="60">BG25-BG26</f>
        <v>-64995636.685016178</v>
      </c>
      <c r="BH27" s="43">
        <f t="shared" ref="BH27" si="61">BH25-BH26</f>
        <v>-74087176.451503173</v>
      </c>
      <c r="BI27" s="43">
        <f t="shared" ref="BI27" si="62">BI25-BI26</f>
        <v>-84165629.477578416</v>
      </c>
      <c r="BJ27" s="43">
        <f t="shared" ref="BJ27" si="63">BJ25-BJ26</f>
        <v>-95332019.867688939</v>
      </c>
      <c r="BK27" s="43">
        <f t="shared" ref="BK27" si="64">BK25-BK26</f>
        <v>-107697544.12008111</v>
      </c>
      <c r="BL27" s="43">
        <f t="shared" ref="BL27" si="65">BL25-BL26</f>
        <v>-121384590.46568118</v>
      </c>
      <c r="BM27" s="43">
        <f t="shared" ref="BM27" si="66">BM25-BM26</f>
        <v>-136527860.20384902</v>
      </c>
      <c r="BN27" s="43">
        <f t="shared" ref="BN27" si="67">BN25-BN26</f>
        <v>-153275601.23658162</v>
      </c>
      <c r="BO27" s="43">
        <f t="shared" ref="BO27" si="68">BO25-BO26</f>
        <v>-171790965.02295792</v>
      </c>
      <c r="BP27" s="43">
        <f t="shared" ref="BP27" si="69">BP25-BP26</f>
        <v>-192253499.29785344</v>
      </c>
      <c r="BQ27" s="43">
        <f t="shared" ref="BQ27" si="70">BQ25-BQ26</f>
        <v>-214860790.13341647</v>
      </c>
      <c r="BR27" s="43">
        <f t="shared" ref="BR27" si="71">BR25-BR26</f>
        <v>-239830268.27970916</v>
      </c>
      <c r="BS27" s="43">
        <f t="shared" ref="BS27" si="72">BS25-BS26</f>
        <v>-267401196.21461964</v>
      </c>
      <c r="BT27" s="43">
        <f t="shared" ref="BT27" si="73">BT25-BT26</f>
        <v>-297836853.97622937</v>
      </c>
      <c r="BU27" s="43">
        <f t="shared" ref="BU27" si="74">BU25-BU26</f>
        <v>-331426943.6582045</v>
      </c>
    </row>
    <row r="28" spans="2:73" ht="17" thickBot="1">
      <c r="B28" s="47"/>
      <c r="M28" s="38" t="s">
        <v>34</v>
      </c>
      <c r="N28" s="43">
        <f>I25</f>
        <v>250000</v>
      </c>
      <c r="O28" s="43">
        <f>N28*(1+$C$7)</f>
        <v>257500</v>
      </c>
      <c r="P28" s="43">
        <f t="shared" ref="P28:S28" si="75">O28*(1+$C$7)</f>
        <v>265225</v>
      </c>
      <c r="Q28" s="43">
        <f t="shared" si="75"/>
        <v>273181.75</v>
      </c>
      <c r="R28" s="43">
        <f t="shared" si="75"/>
        <v>281377.20250000001</v>
      </c>
      <c r="S28" s="43">
        <f t="shared" si="75"/>
        <v>289818.51857499999</v>
      </c>
      <c r="T28" s="43">
        <f t="shared" ref="T28:X28" si="76">S28*(1+$C$7)</f>
        <v>298513.07413224998</v>
      </c>
      <c r="U28" s="43">
        <f t="shared" si="76"/>
        <v>307468.46635621751</v>
      </c>
      <c r="V28" s="43">
        <f t="shared" si="76"/>
        <v>316692.52034690406</v>
      </c>
      <c r="W28" s="43">
        <f t="shared" si="76"/>
        <v>326193.29595731117</v>
      </c>
      <c r="X28" s="43">
        <f t="shared" si="76"/>
        <v>335979.0948360305</v>
      </c>
      <c r="Y28" s="43">
        <f t="shared" ref="Y28:AX28" si="77">X28*(1+$C$7)</f>
        <v>346058.46768111142</v>
      </c>
      <c r="Z28" s="43">
        <f t="shared" si="77"/>
        <v>356440.22171154479</v>
      </c>
      <c r="AA28" s="43">
        <f t="shared" si="77"/>
        <v>367133.42836289114</v>
      </c>
      <c r="AB28" s="43">
        <f t="shared" si="77"/>
        <v>378147.43121377786</v>
      </c>
      <c r="AC28" s="43">
        <f t="shared" si="77"/>
        <v>389491.85415019118</v>
      </c>
      <c r="AD28" s="43">
        <f t="shared" si="77"/>
        <v>401176.60977469693</v>
      </c>
      <c r="AE28" s="43">
        <f t="shared" si="77"/>
        <v>413211.90806793782</v>
      </c>
      <c r="AF28" s="43">
        <f t="shared" si="77"/>
        <v>425608.26530997595</v>
      </c>
      <c r="AG28" s="43">
        <f t="shared" si="77"/>
        <v>438376.51326927525</v>
      </c>
      <c r="AH28" s="43">
        <f t="shared" si="77"/>
        <v>451527.80866735353</v>
      </c>
      <c r="AI28" s="43">
        <f t="shared" si="77"/>
        <v>465073.64292737417</v>
      </c>
      <c r="AJ28" s="43">
        <f t="shared" si="77"/>
        <v>479025.85221519542</v>
      </c>
      <c r="AK28" s="43">
        <f t="shared" si="77"/>
        <v>493396.62778165127</v>
      </c>
      <c r="AL28" s="43">
        <f t="shared" si="77"/>
        <v>508198.5266151008</v>
      </c>
      <c r="AM28" s="43">
        <f t="shared" si="77"/>
        <v>523444.48241355381</v>
      </c>
      <c r="AN28" s="43">
        <f t="shared" si="77"/>
        <v>539147.8168859604</v>
      </c>
      <c r="AO28" s="43">
        <f t="shared" si="77"/>
        <v>555322.25139253924</v>
      </c>
      <c r="AP28" s="43">
        <f t="shared" si="77"/>
        <v>571981.91893431544</v>
      </c>
      <c r="AQ28" s="43">
        <f t="shared" si="77"/>
        <v>589141.37650234497</v>
      </c>
      <c r="AR28" s="43">
        <f t="shared" si="77"/>
        <v>606815.61779741535</v>
      </c>
      <c r="AS28" s="43">
        <f t="shared" si="77"/>
        <v>625020.08633133781</v>
      </c>
      <c r="AT28" s="43">
        <f t="shared" si="77"/>
        <v>643770.68892127799</v>
      </c>
      <c r="AU28" s="43">
        <f t="shared" si="77"/>
        <v>663083.80958891637</v>
      </c>
      <c r="AV28" s="43">
        <f t="shared" si="77"/>
        <v>682976.32387658383</v>
      </c>
      <c r="AW28" s="43">
        <f t="shared" si="77"/>
        <v>703465.61359288136</v>
      </c>
      <c r="AX28" s="43">
        <f t="shared" si="77"/>
        <v>724569.58200066781</v>
      </c>
      <c r="AY28" s="43">
        <f t="shared" ref="AY28:BU28" si="78">AX28*(1+$C$7)</f>
        <v>746306.6694606879</v>
      </c>
      <c r="AZ28" s="43">
        <f t="shared" si="78"/>
        <v>768695.86954450852</v>
      </c>
      <c r="BA28" s="43">
        <f t="shared" si="78"/>
        <v>791756.7456308438</v>
      </c>
      <c r="BB28" s="43">
        <f t="shared" si="78"/>
        <v>815509.44799976912</v>
      </c>
      <c r="BC28" s="43">
        <f t="shared" si="78"/>
        <v>839974.73143976217</v>
      </c>
      <c r="BD28" s="43">
        <f t="shared" si="78"/>
        <v>865173.97338295507</v>
      </c>
      <c r="BE28" s="43">
        <f t="shared" si="78"/>
        <v>891129.19258444372</v>
      </c>
      <c r="BF28" s="43">
        <f t="shared" si="78"/>
        <v>917863.068361977</v>
      </c>
      <c r="BG28" s="43">
        <f t="shared" si="78"/>
        <v>945398.96041283628</v>
      </c>
      <c r="BH28" s="43">
        <f t="shared" si="78"/>
        <v>973760.92922522139</v>
      </c>
      <c r="BI28" s="43">
        <f t="shared" si="78"/>
        <v>1002973.7571019781</v>
      </c>
      <c r="BJ28" s="43">
        <f t="shared" si="78"/>
        <v>1033062.9698150374</v>
      </c>
      <c r="BK28" s="43">
        <f t="shared" si="78"/>
        <v>1064054.8589094887</v>
      </c>
      <c r="BL28" s="43">
        <f t="shared" si="78"/>
        <v>1095976.5046767734</v>
      </c>
      <c r="BM28" s="43">
        <f t="shared" si="78"/>
        <v>1128855.7998170767</v>
      </c>
      <c r="BN28" s="43">
        <f t="shared" si="78"/>
        <v>1162721.4738115889</v>
      </c>
      <c r="BO28" s="43">
        <f t="shared" si="78"/>
        <v>1197603.1180259367</v>
      </c>
      <c r="BP28" s="43">
        <f t="shared" si="78"/>
        <v>1233531.2115667148</v>
      </c>
      <c r="BQ28" s="43">
        <f t="shared" si="78"/>
        <v>1270537.1479137163</v>
      </c>
      <c r="BR28" s="43">
        <f t="shared" si="78"/>
        <v>1308653.2623511278</v>
      </c>
      <c r="BS28" s="43">
        <f t="shared" si="78"/>
        <v>1347912.8602216616</v>
      </c>
      <c r="BT28" s="43">
        <f t="shared" si="78"/>
        <v>1388350.2460283116</v>
      </c>
      <c r="BU28" s="43">
        <f t="shared" si="78"/>
        <v>1430000.753409161</v>
      </c>
    </row>
    <row r="29" spans="2:73">
      <c r="B29" s="49">
        <f t="shared" si="7"/>
        <v>630206</v>
      </c>
      <c r="C29" s="38" t="str">
        <f t="shared" si="8"/>
        <v>Current vs reinvest</v>
      </c>
      <c r="I29" s="44">
        <f>I25+I21</f>
        <v>630206</v>
      </c>
      <c r="J29" s="38" t="s">
        <v>37</v>
      </c>
      <c r="N29" s="43">
        <f>N27+N28</f>
        <v>8642007.1161519997</v>
      </c>
      <c r="O29" s="43">
        <f>O27+O28</f>
        <v>8803289.2355853599</v>
      </c>
      <c r="P29" s="43">
        <f t="shared" ref="P29:S29" si="79">P27+P28</f>
        <v>8959612.0091966018</v>
      </c>
      <c r="Q29" s="43">
        <f t="shared" si="79"/>
        <v>9109846.8756705485</v>
      </c>
      <c r="R29" s="43">
        <f t="shared" si="79"/>
        <v>9252733.4387585185</v>
      </c>
      <c r="S29" s="43">
        <f t="shared" si="79"/>
        <v>9386865.7144209128</v>
      </c>
      <c r="T29" s="43">
        <f t="shared" ref="T29" si="80">T27+T28</f>
        <v>9510676.9856031425</v>
      </c>
      <c r="U29" s="43">
        <f t="shared" ref="U29" si="81">U27+U28</f>
        <v>9622423.1248957999</v>
      </c>
      <c r="V29" s="43">
        <f t="shared" ref="V29:W29" si="82">V27+V28</f>
        <v>9720164.2313396931</v>
      </c>
      <c r="W29" s="43">
        <f t="shared" si="82"/>
        <v>9801744.4122466035</v>
      </c>
      <c r="X29" s="43">
        <f t="shared" ref="X29" si="83">X27+X28</f>
        <v>9864769.5239773933</v>
      </c>
      <c r="Y29" s="43">
        <f t="shared" ref="Y29" si="84">Y27+Y28</f>
        <v>9906582.6669964474</v>
      </c>
      <c r="Z29" s="43">
        <f t="shared" ref="Z29" si="85">Z27+Z28</f>
        <v>9924237.2100360449</v>
      </c>
      <c r="AA29" s="43">
        <f t="shared" ref="AA29" si="86">AA27+AA28</f>
        <v>9914467.0956698004</v>
      </c>
      <c r="AB29" s="43">
        <f t="shared" ref="AB29" si="87">AB27+AB28</f>
        <v>9873654.1548058353</v>
      </c>
      <c r="AC29" s="43">
        <f t="shared" ref="AC29" si="88">AC27+AC28</f>
        <v>9797792.1303425469</v>
      </c>
      <c r="AD29" s="43">
        <f t="shared" ref="AD29" si="89">AD27+AD28</f>
        <v>9682447.0802346133</v>
      </c>
      <c r="AE29" s="43">
        <f t="shared" ref="AE29" si="90">AE27+AE28</f>
        <v>9522713.7972216215</v>
      </c>
      <c r="AF29" s="43">
        <f t="shared" ref="AF29" si="91">AF27+AF28</f>
        <v>9313167.8461762369</v>
      </c>
      <c r="AG29" s="43">
        <f t="shared" ref="AG29" si="92">AG27+AG28</f>
        <v>9047812.7801032886</v>
      </c>
      <c r="AH29" s="43">
        <f t="shared" ref="AH29" si="93">AH27+AH28</f>
        <v>8720022.0519023258</v>
      </c>
      <c r="AI29" s="43">
        <f t="shared" ref="AI29" si="94">AI27+AI28</f>
        <v>8322475.0906949285</v>
      </c>
      <c r="AJ29" s="43">
        <f t="shared" ref="AJ29" si="95">AJ27+AJ28</f>
        <v>7847086.9583748616</v>
      </c>
      <c r="AK29" s="43">
        <f t="shared" ref="AK29" si="96">AK27+AK28</f>
        <v>7284930.9435811015</v>
      </c>
      <c r="AL29" s="43">
        <f t="shared" ref="AL29" si="97">AL27+AL28</f>
        <v>6626153.385989029</v>
      </c>
      <c r="AM29" s="43">
        <f t="shared" ref="AM29" si="98">AM27+AM28</f>
        <v>5859879.9530792432</v>
      </c>
      <c r="AN29" s="43">
        <f t="shared" ref="AN29" si="99">AN27+AN28</f>
        <v>4974112.5137332184</v>
      </c>
      <c r="AO29" s="43">
        <f t="shared" ref="AO29" si="100">AO27+AO28</f>
        <v>3955615.6674129725</v>
      </c>
      <c r="AP29" s="43">
        <f t="shared" ref="AP29" si="101">AP27+AP28</f>
        <v>2789791.8935298943</v>
      </c>
      <c r="AQ29" s="43">
        <f t="shared" ref="AQ29" si="102">AQ27+AQ28</f>
        <v>1460544.1820397768</v>
      </c>
      <c r="AR29" s="43">
        <f t="shared" ref="AR29" si="103">AR27+AR28</f>
        <v>-49875.107624645694</v>
      </c>
      <c r="AS29" s="43">
        <f t="shared" ref="AS29" si="104">AS27+AS28</f>
        <v>-1761030.5374915628</v>
      </c>
      <c r="AT29" s="43">
        <f t="shared" ref="AT29" si="105">AT27+AT28</f>
        <v>-3694486.5479183053</v>
      </c>
      <c r="AU29" s="43">
        <f t="shared" ref="AU29" si="106">AU27+AU28</f>
        <v>-5874008.7480880497</v>
      </c>
      <c r="AV29" s="43">
        <f t="shared" ref="AV29" si="107">AV27+AV28</f>
        <v>-8325785.3746361062</v>
      </c>
      <c r="AW29" s="43">
        <f t="shared" ref="AW29" si="108">AW27+AW28</f>
        <v>-11078670.936391145</v>
      </c>
      <c r="AX29" s="43">
        <f t="shared" ref="AX29" si="109">AX27+AX28</f>
        <v>-14164454.265050432</v>
      </c>
      <c r="AY29" s="43">
        <f t="shared" ref="AY29" si="110">AY27+AY28</f>
        <v>-17618153.413626254</v>
      </c>
      <c r="AZ29" s="43">
        <f t="shared" ref="AZ29" si="111">AZ27+AZ28</f>
        <v>-21478340.088721778</v>
      </c>
      <c r="BA29" s="43">
        <f t="shared" ref="BA29" si="112">BA27+BA28</f>
        <v>-25787496.571338844</v>
      </c>
      <c r="BB29" s="43">
        <f t="shared" ref="BB29" si="113">BB27+BB28</f>
        <v>-30592408.376429968</v>
      </c>
      <c r="BC29" s="43">
        <f t="shared" ref="BC29" si="114">BC27+BC28</f>
        <v>-35944596.226468913</v>
      </c>
      <c r="BD29" s="43">
        <f t="shared" ref="BD29" si="115">BD27+BD28</f>
        <v>-41900791.271883637</v>
      </c>
      <c r="BE29" s="43">
        <f t="shared" ref="BE29" si="116">BE27+BE28</f>
        <v>-48523457.884522878</v>
      </c>
      <c r="BF29" s="43">
        <f t="shared" ref="BF29" si="117">BF27+BF28</f>
        <v>-55881368.782989562</v>
      </c>
      <c r="BG29" s="43">
        <f t="shared" ref="BG29" si="118">BG27+BG28</f>
        <v>-64050237.72460334</v>
      </c>
      <c r="BH29" s="43">
        <f t="shared" ref="BH29" si="119">BH27+BH28</f>
        <v>-73113415.522277951</v>
      </c>
      <c r="BI29" s="43">
        <f t="shared" ref="BI29" si="120">BI27+BI28</f>
        <v>-83162655.720476434</v>
      </c>
      <c r="BJ29" s="43">
        <f t="shared" ref="BJ29" si="121">BJ27+BJ28</f>
        <v>-94298956.897873908</v>
      </c>
      <c r="BK29" s="43">
        <f t="shared" ref="BK29" si="122">BK27+BK28</f>
        <v>-106633489.26117162</v>
      </c>
      <c r="BL29" s="43">
        <f t="shared" ref="BL29" si="123">BL27+BL28</f>
        <v>-120288613.96100441</v>
      </c>
      <c r="BM29" s="43">
        <f t="shared" ref="BM29" si="124">BM27+BM28</f>
        <v>-135399004.40403193</v>
      </c>
      <c r="BN29" s="43">
        <f t="shared" ref="BN29" si="125">BN27+BN28</f>
        <v>-152112879.76277003</v>
      </c>
      <c r="BO29" s="43">
        <f t="shared" ref="BO29" si="126">BO27+BO28</f>
        <v>-170593361.90493199</v>
      </c>
      <c r="BP29" s="43">
        <f t="shared" ref="BP29" si="127">BP27+BP28</f>
        <v>-191019968.08628672</v>
      </c>
      <c r="BQ29" s="43">
        <f t="shared" ref="BQ29" si="128">BQ27+BQ28</f>
        <v>-213590252.98550275</v>
      </c>
      <c r="BR29" s="43">
        <f t="shared" ref="BR29" si="129">BR27+BR28</f>
        <v>-238521615.01735803</v>
      </c>
      <c r="BS29" s="43">
        <f t="shared" ref="BS29" si="130">BS27+BS28</f>
        <v>-266053283.35439798</v>
      </c>
      <c r="BT29" s="43">
        <f t="shared" ref="BT29" si="131">BT27+BT28</f>
        <v>-296448503.73020107</v>
      </c>
      <c r="BU29" s="43">
        <f t="shared" ref="BU29" si="132">BU27+BU28</f>
        <v>-329996942.90479535</v>
      </c>
    </row>
    <row r="30" spans="2:73">
      <c r="B30" s="50"/>
      <c r="N30" s="43">
        <f>FV(10%,1,0,-N29)</f>
        <v>9506207.8277672008</v>
      </c>
      <c r="O30" s="43">
        <f>FV(10%,1,0,-O29)</f>
        <v>9683618.1591438968</v>
      </c>
      <c r="P30" s="43">
        <f t="shared" ref="P30:S30" si="133">FV(10%,1,0,-P29)</f>
        <v>9855573.2101162635</v>
      </c>
      <c r="Q30" s="43">
        <f t="shared" si="133"/>
        <v>10020831.563237604</v>
      </c>
      <c r="R30" s="43">
        <f t="shared" si="133"/>
        <v>10178006.782634372</v>
      </c>
      <c r="S30" s="43">
        <f t="shared" si="133"/>
        <v>10325552.285863005</v>
      </c>
      <c r="T30" s="43">
        <f t="shared" ref="T30" si="134">FV(10%,1,0,-T29)</f>
        <v>10461744.684163457</v>
      </c>
      <c r="U30" s="43">
        <f t="shared" ref="U30" si="135">FV(10%,1,0,-U29)</f>
        <v>10584665.43738538</v>
      </c>
      <c r="V30" s="43">
        <f t="shared" ref="V30:W30" si="136">FV(10%,1,0,-V29)</f>
        <v>10692180.654473662</v>
      </c>
      <c r="W30" s="43">
        <f t="shared" si="136"/>
        <v>10781918.853471264</v>
      </c>
      <c r="X30" s="43">
        <f t="shared" ref="X30" si="137">FV(10%,1,0,-X29)</f>
        <v>10851246.476375133</v>
      </c>
      <c r="Y30" s="43">
        <f t="shared" ref="Y30" si="138">FV(10%,1,0,-Y29)</f>
        <v>10897240.933696093</v>
      </c>
      <c r="Z30" s="43">
        <f t="shared" ref="Z30" si="139">FV(10%,1,0,-Z29)</f>
        <v>10916660.93103965</v>
      </c>
      <c r="AA30" s="43">
        <f t="shared" ref="AA30" si="140">FV(10%,1,0,-AA29)</f>
        <v>10905913.805236781</v>
      </c>
      <c r="AB30" s="43">
        <f t="shared" ref="AB30" si="141">FV(10%,1,0,-AB29)</f>
        <v>10861019.570286419</v>
      </c>
      <c r="AC30" s="43">
        <f t="shared" ref="AC30" si="142">FV(10%,1,0,-AC29)</f>
        <v>10777571.343376802</v>
      </c>
      <c r="AD30" s="43">
        <f t="shared" ref="AD30" si="143">FV(10%,1,0,-AD29)</f>
        <v>10650691.788258076</v>
      </c>
      <c r="AE30" s="43">
        <f t="shared" ref="AE30" si="144">FV(10%,1,0,-AE29)</f>
        <v>10474985.176943785</v>
      </c>
      <c r="AF30" s="43">
        <f t="shared" ref="AF30" si="145">FV(10%,1,0,-AF29)</f>
        <v>10244484.630793862</v>
      </c>
      <c r="AG30" s="43">
        <f t="shared" ref="AG30" si="146">FV(10%,1,0,-AG29)</f>
        <v>9952594.0581136178</v>
      </c>
      <c r="AH30" s="43">
        <f t="shared" ref="AH30" si="147">FV(10%,1,0,-AH29)</f>
        <v>9592024.2570925597</v>
      </c>
      <c r="AI30" s="43">
        <f t="shared" ref="AI30" si="148">FV(10%,1,0,-AI29)</f>
        <v>9154722.5997644216</v>
      </c>
      <c r="AJ30" s="43">
        <f t="shared" ref="AJ30" si="149">FV(10%,1,0,-AJ29)</f>
        <v>8631795.6542123482</v>
      </c>
      <c r="AK30" s="43">
        <f t="shared" ref="AK30" si="150">FV(10%,1,0,-AK29)</f>
        <v>8013424.0379392123</v>
      </c>
      <c r="AL30" s="43">
        <f t="shared" ref="AL30" si="151">FV(10%,1,0,-AL29)</f>
        <v>7288768.7245879322</v>
      </c>
      <c r="AM30" s="43">
        <f t="shared" ref="AM30" si="152">FV(10%,1,0,-AM29)</f>
        <v>6445867.9483871683</v>
      </c>
      <c r="AN30" s="43">
        <f t="shared" ref="AN30" si="153">FV(10%,1,0,-AN29)</f>
        <v>5471523.7651065411</v>
      </c>
      <c r="AO30" s="43">
        <f t="shared" ref="AO30" si="154">FV(10%,1,0,-AO29)</f>
        <v>4351177.23415427</v>
      </c>
      <c r="AP30" s="43">
        <f t="shared" ref="AP30" si="155">FV(10%,1,0,-AP29)</f>
        <v>3068771.082882884</v>
      </c>
      <c r="AQ30" s="43">
        <f t="shared" ref="AQ30" si="156">FV(10%,1,0,-AQ29)</f>
        <v>1606598.6002437547</v>
      </c>
      <c r="AR30" s="43">
        <f t="shared" ref="AR30" si="157">FV(10%,1,0,-AR29)</f>
        <v>-54862.618387110269</v>
      </c>
      <c r="AS30" s="43">
        <f t="shared" ref="AS30" si="158">FV(10%,1,0,-AS29)</f>
        <v>-1937133.5912407192</v>
      </c>
      <c r="AT30" s="43">
        <f t="shared" ref="AT30" si="159">FV(10%,1,0,-AT29)</f>
        <v>-4063935.2027101363</v>
      </c>
      <c r="AU30" s="43">
        <f t="shared" ref="AU30" si="160">FV(10%,1,0,-AU29)</f>
        <v>-6461409.6228968548</v>
      </c>
      <c r="AV30" s="43">
        <f t="shared" ref="AV30" si="161">FV(10%,1,0,-AV29)</f>
        <v>-9158363.9120997172</v>
      </c>
      <c r="AW30" s="43">
        <f t="shared" ref="AW30" si="162">FV(10%,1,0,-AW29)</f>
        <v>-12186538.03003026</v>
      </c>
      <c r="AX30" s="43">
        <f t="shared" ref="AX30" si="163">FV(10%,1,0,-AX29)</f>
        <v>-15580899.691555476</v>
      </c>
      <c r="AY30" s="43">
        <f t="shared" ref="AY30" si="164">FV(10%,1,0,-AY29)</f>
        <v>-19379968.754988879</v>
      </c>
      <c r="AZ30" s="43">
        <f t="shared" ref="AZ30" si="165">FV(10%,1,0,-AZ29)</f>
        <v>-23626174.097593959</v>
      </c>
      <c r="BA30" s="43">
        <f t="shared" ref="BA30" si="166">FV(10%,1,0,-BA29)</f>
        <v>-28366246.228472732</v>
      </c>
      <c r="BB30" s="43">
        <f t="shared" ref="BB30" si="167">FV(10%,1,0,-BB29)</f>
        <v>-33651649.214072965</v>
      </c>
      <c r="BC30" s="43">
        <f t="shared" ref="BC30" si="168">FV(10%,1,0,-BC29)</f>
        <v>-39539055.849115811</v>
      </c>
      <c r="BD30" s="43">
        <f t="shared" ref="BD30" si="169">FV(10%,1,0,-BD29)</f>
        <v>-46090870.399072006</v>
      </c>
      <c r="BE30" s="43">
        <f t="shared" ref="BE30" si="170">FV(10%,1,0,-BE29)</f>
        <v>-53375803.672975168</v>
      </c>
      <c r="BF30" s="43">
        <f t="shared" ref="BF30" si="171">FV(10%,1,0,-BF29)</f>
        <v>-61469505.661288522</v>
      </c>
      <c r="BG30" s="43">
        <f t="shared" ref="BG30" si="172">FV(10%,1,0,-BG29)</f>
        <v>-70455261.497063681</v>
      </c>
      <c r="BH30" s="43">
        <f t="shared" ref="BH30" si="173">FV(10%,1,0,-BH29)</f>
        <v>-80424757.074505746</v>
      </c>
      <c r="BI30" s="43">
        <f t="shared" ref="BI30" si="174">FV(10%,1,0,-BI29)</f>
        <v>-91478921.292524084</v>
      </c>
      <c r="BJ30" s="43">
        <f t="shared" ref="BJ30" si="175">FV(10%,1,0,-BJ29)</f>
        <v>-103728852.58766131</v>
      </c>
      <c r="BK30" s="43">
        <f t="shared" ref="BK30" si="176">FV(10%,1,0,-BK29)</f>
        <v>-117296838.18728879</v>
      </c>
      <c r="BL30" s="43">
        <f t="shared" ref="BL30" si="177">FV(10%,1,0,-BL29)</f>
        <v>-132317475.35710485</v>
      </c>
      <c r="BM30" s="43">
        <f t="shared" ref="BM30" si="178">FV(10%,1,0,-BM29)</f>
        <v>-148938904.84443513</v>
      </c>
      <c r="BN30" s="43">
        <f t="shared" ref="BN30" si="179">FV(10%,1,0,-BN29)</f>
        <v>-167324167.73904705</v>
      </c>
      <c r="BO30" s="43">
        <f t="shared" ref="BO30" si="180">FV(10%,1,0,-BO29)</f>
        <v>-187652698.09542522</v>
      </c>
      <c r="BP30" s="43">
        <f t="shared" ref="BP30" si="181">FV(10%,1,0,-BP29)</f>
        <v>-210121964.8949154</v>
      </c>
      <c r="BQ30" s="43">
        <f t="shared" ref="BQ30" si="182">FV(10%,1,0,-BQ29)</f>
        <v>-234949278.28405306</v>
      </c>
      <c r="BR30" s="43">
        <f t="shared" ref="BR30" si="183">FV(10%,1,0,-BR29)</f>
        <v>-262373776.51909387</v>
      </c>
      <c r="BS30" s="43">
        <f t="shared" ref="BS30" si="184">FV(10%,1,0,-BS29)</f>
        <v>-292658611.68983781</v>
      </c>
      <c r="BT30" s="43">
        <f t="shared" ref="BT30" si="185">FV(10%,1,0,-BT29)</f>
        <v>-326093354.10322118</v>
      </c>
      <c r="BU30" s="43">
        <f t="shared" ref="BU30" si="186">FV(10%,1,0,-BU29)</f>
        <v>-362996637.19527489</v>
      </c>
    </row>
    <row r="31" spans="2:73">
      <c r="B31" s="50">
        <f t="shared" si="7"/>
        <v>302239.23512800003</v>
      </c>
      <c r="C31" s="38" t="str">
        <f t="shared" si="8"/>
        <v>Tax</v>
      </c>
      <c r="I31" s="51">
        <f>I29*M19</f>
        <v>302239.23512800003</v>
      </c>
      <c r="J31" s="38" t="s">
        <v>36</v>
      </c>
    </row>
    <row r="32" spans="2:73">
      <c r="B32" s="50"/>
    </row>
    <row r="33" spans="2:108" ht="17" thickBot="1">
      <c r="B33" s="52">
        <f t="shared" si="7"/>
        <v>932445.23512800003</v>
      </c>
      <c r="C33" s="38" t="str">
        <f t="shared" si="8"/>
        <v>Taxable Income</v>
      </c>
      <c r="I33" s="51">
        <f>I29+I31</f>
        <v>932445.23512800003</v>
      </c>
      <c r="J33" s="38" t="s">
        <v>38</v>
      </c>
    </row>
    <row r="34" spans="2:108">
      <c r="B34" s="47"/>
    </row>
    <row r="35" spans="2:108">
      <c r="B35" s="47">
        <f t="shared" si="7"/>
        <v>9324452.3512800001</v>
      </c>
      <c r="C35" s="38" t="str">
        <f t="shared" si="8"/>
        <v>Break even</v>
      </c>
      <c r="I35" s="51">
        <f>I33/C8</f>
        <v>9324452.3512800001</v>
      </c>
      <c r="J35" s="38" t="s">
        <v>39</v>
      </c>
    </row>
    <row r="36" spans="2:108">
      <c r="B36" s="47"/>
      <c r="M36" s="38">
        <f>SUM(N36:DD36)</f>
        <v>95</v>
      </c>
      <c r="N36" s="38">
        <f>IF(N43&gt;1,1,0)</f>
        <v>1</v>
      </c>
      <c r="O36" s="38">
        <f t="shared" ref="O36:BL36" si="187">IF(O43&gt;1,1,0)</f>
        <v>1</v>
      </c>
      <c r="P36" s="38">
        <f t="shared" si="187"/>
        <v>1</v>
      </c>
      <c r="Q36" s="38">
        <f t="shared" si="187"/>
        <v>1</v>
      </c>
      <c r="R36" s="38">
        <f t="shared" si="187"/>
        <v>1</v>
      </c>
      <c r="S36" s="38">
        <f t="shared" si="187"/>
        <v>1</v>
      </c>
      <c r="T36" s="38">
        <f t="shared" si="187"/>
        <v>1</v>
      </c>
      <c r="U36" s="38">
        <f t="shared" si="187"/>
        <v>1</v>
      </c>
      <c r="V36" s="38">
        <f t="shared" si="187"/>
        <v>1</v>
      </c>
      <c r="W36" s="38">
        <f t="shared" si="187"/>
        <v>1</v>
      </c>
      <c r="X36" s="38">
        <f t="shared" si="187"/>
        <v>1</v>
      </c>
      <c r="Y36" s="38">
        <f t="shared" si="187"/>
        <v>1</v>
      </c>
      <c r="Z36" s="38">
        <f t="shared" si="187"/>
        <v>1</v>
      </c>
      <c r="AA36" s="38">
        <f t="shared" si="187"/>
        <v>1</v>
      </c>
      <c r="AB36" s="38">
        <f t="shared" si="187"/>
        <v>1</v>
      </c>
      <c r="AC36" s="38">
        <f t="shared" si="187"/>
        <v>1</v>
      </c>
      <c r="AD36" s="38">
        <f t="shared" si="187"/>
        <v>1</v>
      </c>
      <c r="AE36" s="38">
        <f t="shared" si="187"/>
        <v>1</v>
      </c>
      <c r="AF36" s="38">
        <f t="shared" si="187"/>
        <v>1</v>
      </c>
      <c r="AG36" s="38">
        <f t="shared" si="187"/>
        <v>1</v>
      </c>
      <c r="AH36" s="38">
        <f t="shared" si="187"/>
        <v>1</v>
      </c>
      <c r="AI36" s="38">
        <f t="shared" si="187"/>
        <v>1</v>
      </c>
      <c r="AJ36" s="38">
        <f t="shared" si="187"/>
        <v>1</v>
      </c>
      <c r="AK36" s="38">
        <f t="shared" si="187"/>
        <v>1</v>
      </c>
      <c r="AL36" s="38">
        <f t="shared" si="187"/>
        <v>1</v>
      </c>
      <c r="AM36" s="38">
        <f t="shared" si="187"/>
        <v>1</v>
      </c>
      <c r="AN36" s="38">
        <f t="shared" si="187"/>
        <v>1</v>
      </c>
      <c r="AO36" s="38">
        <f t="shared" si="187"/>
        <v>1</v>
      </c>
      <c r="AP36" s="38">
        <f t="shared" si="187"/>
        <v>1</v>
      </c>
      <c r="AQ36" s="38">
        <f t="shared" si="187"/>
        <v>1</v>
      </c>
      <c r="AR36" s="38">
        <f t="shared" si="187"/>
        <v>1</v>
      </c>
      <c r="AS36" s="38">
        <f t="shared" si="187"/>
        <v>1</v>
      </c>
      <c r="AT36" s="38">
        <f t="shared" si="187"/>
        <v>1</v>
      </c>
      <c r="AU36" s="38">
        <f t="shared" si="187"/>
        <v>1</v>
      </c>
      <c r="AV36" s="38">
        <f t="shared" si="187"/>
        <v>1</v>
      </c>
      <c r="AW36" s="38">
        <f t="shared" si="187"/>
        <v>1</v>
      </c>
      <c r="AX36" s="38">
        <f t="shared" si="187"/>
        <v>1</v>
      </c>
      <c r="AY36" s="38">
        <f t="shared" si="187"/>
        <v>1</v>
      </c>
      <c r="AZ36" s="38">
        <f t="shared" si="187"/>
        <v>1</v>
      </c>
      <c r="BA36" s="38">
        <f t="shared" si="187"/>
        <v>1</v>
      </c>
      <c r="BB36" s="38">
        <f t="shared" si="187"/>
        <v>1</v>
      </c>
      <c r="BC36" s="38">
        <f t="shared" si="187"/>
        <v>1</v>
      </c>
      <c r="BD36" s="38">
        <f t="shared" si="187"/>
        <v>1</v>
      </c>
      <c r="BE36" s="38">
        <f t="shared" si="187"/>
        <v>1</v>
      </c>
      <c r="BF36" s="38">
        <f t="shared" si="187"/>
        <v>1</v>
      </c>
      <c r="BG36" s="38">
        <f t="shared" si="187"/>
        <v>1</v>
      </c>
      <c r="BH36" s="38">
        <f t="shared" si="187"/>
        <v>1</v>
      </c>
      <c r="BI36" s="38">
        <f t="shared" si="187"/>
        <v>1</v>
      </c>
      <c r="BJ36" s="38">
        <f t="shared" si="187"/>
        <v>1</v>
      </c>
      <c r="BK36" s="38">
        <f t="shared" si="187"/>
        <v>1</v>
      </c>
      <c r="BL36" s="38">
        <f t="shared" si="187"/>
        <v>1</v>
      </c>
      <c r="BM36" s="38">
        <f t="shared" ref="BM36:CF36" si="188">IF(BM43&gt;1,1,0)</f>
        <v>1</v>
      </c>
      <c r="BN36" s="38">
        <f t="shared" si="188"/>
        <v>1</v>
      </c>
      <c r="BO36" s="38">
        <f t="shared" si="188"/>
        <v>1</v>
      </c>
      <c r="BP36" s="38">
        <f t="shared" si="188"/>
        <v>1</v>
      </c>
      <c r="BQ36" s="38">
        <f t="shared" si="188"/>
        <v>1</v>
      </c>
      <c r="BR36" s="38">
        <f t="shared" si="188"/>
        <v>1</v>
      </c>
      <c r="BS36" s="38">
        <f t="shared" si="188"/>
        <v>1</v>
      </c>
      <c r="BT36" s="38">
        <f t="shared" si="188"/>
        <v>1</v>
      </c>
      <c r="BU36" s="38">
        <f t="shared" si="188"/>
        <v>1</v>
      </c>
      <c r="BV36" s="38">
        <f t="shared" si="188"/>
        <v>1</v>
      </c>
      <c r="BW36" s="38">
        <f t="shared" si="188"/>
        <v>1</v>
      </c>
      <c r="BX36" s="38">
        <f t="shared" si="188"/>
        <v>1</v>
      </c>
      <c r="BY36" s="38">
        <f t="shared" si="188"/>
        <v>1</v>
      </c>
      <c r="BZ36" s="38">
        <f t="shared" si="188"/>
        <v>1</v>
      </c>
      <c r="CA36" s="38">
        <f t="shared" si="188"/>
        <v>1</v>
      </c>
      <c r="CB36" s="38">
        <f t="shared" si="188"/>
        <v>1</v>
      </c>
      <c r="CC36" s="38">
        <f t="shared" si="188"/>
        <v>1</v>
      </c>
      <c r="CD36" s="38">
        <f t="shared" si="188"/>
        <v>1</v>
      </c>
      <c r="CE36" s="38">
        <f t="shared" si="188"/>
        <v>1</v>
      </c>
      <c r="CF36" s="38">
        <f t="shared" si="188"/>
        <v>1</v>
      </c>
      <c r="CG36" s="38">
        <f t="shared" ref="CG36:DD36" si="189">IF(CG43&gt;1,1,0)</f>
        <v>1</v>
      </c>
      <c r="CH36" s="38">
        <f t="shared" si="189"/>
        <v>1</v>
      </c>
      <c r="CI36" s="38">
        <f t="shared" si="189"/>
        <v>1</v>
      </c>
      <c r="CJ36" s="38">
        <f t="shared" si="189"/>
        <v>1</v>
      </c>
      <c r="CK36" s="38">
        <f t="shared" si="189"/>
        <v>1</v>
      </c>
      <c r="CL36" s="38">
        <f t="shared" si="189"/>
        <v>1</v>
      </c>
      <c r="CM36" s="38">
        <f t="shared" si="189"/>
        <v>1</v>
      </c>
      <c r="CN36" s="38">
        <f t="shared" si="189"/>
        <v>1</v>
      </c>
      <c r="CO36" s="38">
        <f t="shared" si="189"/>
        <v>1</v>
      </c>
      <c r="CP36" s="38">
        <f t="shared" si="189"/>
        <v>1</v>
      </c>
      <c r="CQ36" s="38">
        <f t="shared" si="189"/>
        <v>1</v>
      </c>
      <c r="CR36" s="38">
        <f t="shared" si="189"/>
        <v>1</v>
      </c>
      <c r="CS36" s="38">
        <f t="shared" si="189"/>
        <v>1</v>
      </c>
      <c r="CT36" s="38">
        <f t="shared" si="189"/>
        <v>1</v>
      </c>
      <c r="CU36" s="38">
        <f t="shared" si="189"/>
        <v>1</v>
      </c>
      <c r="CV36" s="38">
        <f t="shared" si="189"/>
        <v>1</v>
      </c>
      <c r="CW36" s="38">
        <f t="shared" si="189"/>
        <v>1</v>
      </c>
      <c r="CX36" s="38">
        <f t="shared" si="189"/>
        <v>1</v>
      </c>
      <c r="CY36" s="38">
        <f t="shared" si="189"/>
        <v>1</v>
      </c>
      <c r="CZ36" s="38">
        <f t="shared" si="189"/>
        <v>1</v>
      </c>
      <c r="DA36" s="38">
        <f t="shared" si="189"/>
        <v>1</v>
      </c>
      <c r="DB36" s="38">
        <f t="shared" si="189"/>
        <v>1</v>
      </c>
      <c r="DC36" s="38">
        <f t="shared" si="189"/>
        <v>1</v>
      </c>
      <c r="DD36" s="38">
        <f t="shared" si="189"/>
        <v>1</v>
      </c>
    </row>
    <row r="37" spans="2:108">
      <c r="B37" s="47">
        <f t="shared" si="7"/>
        <v>45519.55533005271</v>
      </c>
      <c r="C37" s="38" t="str">
        <f t="shared" si="8"/>
        <v>PMT</v>
      </c>
      <c r="I37" s="51">
        <f>PMT(10%/12,120,0,-I35)</f>
        <v>45519.55533005271</v>
      </c>
      <c r="J37" s="38" t="s">
        <v>8</v>
      </c>
      <c r="N37" s="38">
        <v>1</v>
      </c>
      <c r="O37" s="38">
        <f>N37+1</f>
        <v>2</v>
      </c>
      <c r="P37" s="38">
        <f t="shared" ref="P37:CA37" si="190">O37+1</f>
        <v>3</v>
      </c>
      <c r="Q37" s="38">
        <f t="shared" si="190"/>
        <v>4</v>
      </c>
      <c r="R37" s="38">
        <f t="shared" si="190"/>
        <v>5</v>
      </c>
      <c r="S37" s="38">
        <f t="shared" si="190"/>
        <v>6</v>
      </c>
      <c r="T37" s="38">
        <f t="shared" si="190"/>
        <v>7</v>
      </c>
      <c r="U37" s="38">
        <f t="shared" si="190"/>
        <v>8</v>
      </c>
      <c r="V37" s="38">
        <f t="shared" si="190"/>
        <v>9</v>
      </c>
      <c r="W37" s="38">
        <f t="shared" si="190"/>
        <v>10</v>
      </c>
      <c r="X37" s="38">
        <f t="shared" si="190"/>
        <v>11</v>
      </c>
      <c r="Y37" s="38">
        <f t="shared" si="190"/>
        <v>12</v>
      </c>
      <c r="Z37" s="38">
        <f t="shared" si="190"/>
        <v>13</v>
      </c>
      <c r="AA37" s="38">
        <f t="shared" si="190"/>
        <v>14</v>
      </c>
      <c r="AB37" s="38">
        <f t="shared" si="190"/>
        <v>15</v>
      </c>
      <c r="AC37" s="38">
        <f t="shared" si="190"/>
        <v>16</v>
      </c>
      <c r="AD37" s="38">
        <f t="shared" si="190"/>
        <v>17</v>
      </c>
      <c r="AE37" s="38">
        <f t="shared" si="190"/>
        <v>18</v>
      </c>
      <c r="AF37" s="38">
        <f t="shared" si="190"/>
        <v>19</v>
      </c>
      <c r="AG37" s="38">
        <f t="shared" si="190"/>
        <v>20</v>
      </c>
      <c r="AH37" s="38">
        <f t="shared" si="190"/>
        <v>21</v>
      </c>
      <c r="AI37" s="38">
        <f t="shared" si="190"/>
        <v>22</v>
      </c>
      <c r="AJ37" s="38">
        <f t="shared" si="190"/>
        <v>23</v>
      </c>
      <c r="AK37" s="38">
        <f t="shared" si="190"/>
        <v>24</v>
      </c>
      <c r="AL37" s="38">
        <f t="shared" si="190"/>
        <v>25</v>
      </c>
      <c r="AM37" s="38">
        <f t="shared" si="190"/>
        <v>26</v>
      </c>
      <c r="AN37" s="38">
        <f t="shared" si="190"/>
        <v>27</v>
      </c>
      <c r="AO37" s="38">
        <f t="shared" si="190"/>
        <v>28</v>
      </c>
      <c r="AP37" s="38">
        <f t="shared" si="190"/>
        <v>29</v>
      </c>
      <c r="AQ37" s="38">
        <f t="shared" si="190"/>
        <v>30</v>
      </c>
      <c r="AR37" s="38">
        <f t="shared" si="190"/>
        <v>31</v>
      </c>
      <c r="AS37" s="38">
        <f t="shared" si="190"/>
        <v>32</v>
      </c>
      <c r="AT37" s="38">
        <f t="shared" si="190"/>
        <v>33</v>
      </c>
      <c r="AU37" s="38">
        <f t="shared" si="190"/>
        <v>34</v>
      </c>
      <c r="AV37" s="38">
        <f t="shared" si="190"/>
        <v>35</v>
      </c>
      <c r="AW37" s="38">
        <f t="shared" si="190"/>
        <v>36</v>
      </c>
      <c r="AX37" s="38">
        <f t="shared" si="190"/>
        <v>37</v>
      </c>
      <c r="AY37" s="38">
        <f t="shared" si="190"/>
        <v>38</v>
      </c>
      <c r="AZ37" s="38">
        <f t="shared" si="190"/>
        <v>39</v>
      </c>
      <c r="BA37" s="38">
        <f t="shared" si="190"/>
        <v>40</v>
      </c>
      <c r="BB37" s="38">
        <f t="shared" si="190"/>
        <v>41</v>
      </c>
      <c r="BC37" s="38">
        <f t="shared" si="190"/>
        <v>42</v>
      </c>
      <c r="BD37" s="38">
        <f t="shared" si="190"/>
        <v>43</v>
      </c>
      <c r="BE37" s="38">
        <f t="shared" si="190"/>
        <v>44</v>
      </c>
      <c r="BF37" s="38">
        <f t="shared" si="190"/>
        <v>45</v>
      </c>
      <c r="BG37" s="38">
        <f t="shared" si="190"/>
        <v>46</v>
      </c>
      <c r="BH37" s="38">
        <f t="shared" si="190"/>
        <v>47</v>
      </c>
      <c r="BI37" s="38">
        <f t="shared" si="190"/>
        <v>48</v>
      </c>
      <c r="BJ37" s="38">
        <f t="shared" si="190"/>
        <v>49</v>
      </c>
      <c r="BK37" s="38">
        <f t="shared" si="190"/>
        <v>50</v>
      </c>
      <c r="BL37" s="38">
        <f t="shared" si="190"/>
        <v>51</v>
      </c>
      <c r="BM37" s="38">
        <f t="shared" si="190"/>
        <v>52</v>
      </c>
      <c r="BN37" s="38">
        <f t="shared" si="190"/>
        <v>53</v>
      </c>
      <c r="BO37" s="38">
        <f t="shared" si="190"/>
        <v>54</v>
      </c>
      <c r="BP37" s="38">
        <f t="shared" si="190"/>
        <v>55</v>
      </c>
      <c r="BQ37" s="38">
        <f t="shared" si="190"/>
        <v>56</v>
      </c>
      <c r="BR37" s="38">
        <f t="shared" si="190"/>
        <v>57</v>
      </c>
      <c r="BS37" s="38">
        <f t="shared" si="190"/>
        <v>58</v>
      </c>
      <c r="BT37" s="38">
        <f t="shared" si="190"/>
        <v>59</v>
      </c>
      <c r="BU37" s="38">
        <f t="shared" si="190"/>
        <v>60</v>
      </c>
      <c r="BV37" s="38">
        <f t="shared" si="190"/>
        <v>61</v>
      </c>
      <c r="BW37" s="38">
        <f t="shared" si="190"/>
        <v>62</v>
      </c>
      <c r="BX37" s="38">
        <f t="shared" si="190"/>
        <v>63</v>
      </c>
      <c r="BY37" s="38">
        <f t="shared" si="190"/>
        <v>64</v>
      </c>
      <c r="BZ37" s="38">
        <f t="shared" si="190"/>
        <v>65</v>
      </c>
      <c r="CA37" s="38">
        <f t="shared" si="190"/>
        <v>66</v>
      </c>
      <c r="CB37" s="38">
        <f t="shared" ref="CB37:CF37" si="191">CA37+1</f>
        <v>67</v>
      </c>
      <c r="CC37" s="38">
        <f t="shared" si="191"/>
        <v>68</v>
      </c>
      <c r="CD37" s="38">
        <f t="shared" si="191"/>
        <v>69</v>
      </c>
      <c r="CE37" s="38">
        <f t="shared" si="191"/>
        <v>70</v>
      </c>
      <c r="CF37" s="38">
        <f t="shared" si="191"/>
        <v>71</v>
      </c>
      <c r="CG37" s="38">
        <f t="shared" ref="CG37:DD37" si="192">CF37+1</f>
        <v>72</v>
      </c>
      <c r="CH37" s="38">
        <f t="shared" si="192"/>
        <v>73</v>
      </c>
      <c r="CI37" s="38">
        <f t="shared" si="192"/>
        <v>74</v>
      </c>
      <c r="CJ37" s="38">
        <f t="shared" si="192"/>
        <v>75</v>
      </c>
      <c r="CK37" s="38">
        <f t="shared" si="192"/>
        <v>76</v>
      </c>
      <c r="CL37" s="38">
        <f t="shared" si="192"/>
        <v>77</v>
      </c>
      <c r="CM37" s="38">
        <f t="shared" si="192"/>
        <v>78</v>
      </c>
      <c r="CN37" s="38">
        <f t="shared" si="192"/>
        <v>79</v>
      </c>
      <c r="CO37" s="38">
        <f t="shared" si="192"/>
        <v>80</v>
      </c>
      <c r="CP37" s="38">
        <f t="shared" si="192"/>
        <v>81</v>
      </c>
      <c r="CQ37" s="38">
        <f t="shared" si="192"/>
        <v>82</v>
      </c>
      <c r="CR37" s="38">
        <f t="shared" si="192"/>
        <v>83</v>
      </c>
      <c r="CS37" s="38">
        <f t="shared" si="192"/>
        <v>84</v>
      </c>
      <c r="CT37" s="38">
        <f t="shared" si="192"/>
        <v>85</v>
      </c>
      <c r="CU37" s="38">
        <f t="shared" si="192"/>
        <v>86</v>
      </c>
      <c r="CV37" s="38">
        <f t="shared" si="192"/>
        <v>87</v>
      </c>
      <c r="CW37" s="38">
        <f t="shared" si="192"/>
        <v>88</v>
      </c>
      <c r="CX37" s="38">
        <f t="shared" si="192"/>
        <v>89</v>
      </c>
      <c r="CY37" s="38">
        <f t="shared" si="192"/>
        <v>90</v>
      </c>
      <c r="CZ37" s="38">
        <f t="shared" si="192"/>
        <v>91</v>
      </c>
      <c r="DA37" s="38">
        <f t="shared" si="192"/>
        <v>92</v>
      </c>
      <c r="DB37" s="38">
        <f t="shared" si="192"/>
        <v>93</v>
      </c>
      <c r="DC37" s="38">
        <f t="shared" si="192"/>
        <v>94</v>
      </c>
      <c r="DD37" s="38">
        <f t="shared" si="192"/>
        <v>95</v>
      </c>
    </row>
    <row r="38" spans="2:108">
      <c r="M38" s="38" t="s">
        <v>43</v>
      </c>
      <c r="N38" s="45">
        <v>7500000</v>
      </c>
      <c r="O38" s="45">
        <f>N43</f>
        <v>7750000</v>
      </c>
      <c r="P38" s="45">
        <f>O43</f>
        <v>8010000</v>
      </c>
      <c r="Q38" s="45">
        <f t="shared" ref="Q38:W38" si="193">P43</f>
        <v>8280550</v>
      </c>
      <c r="R38" s="45">
        <f t="shared" si="193"/>
        <v>8562241.5</v>
      </c>
      <c r="S38" s="45">
        <f t="shared" si="193"/>
        <v>8855711.2449999992</v>
      </c>
      <c r="T38" s="45">
        <f t="shared" si="193"/>
        <v>9161645.3323499989</v>
      </c>
      <c r="U38" s="45">
        <f t="shared" si="193"/>
        <v>9480783.7173204981</v>
      </c>
      <c r="V38" s="45">
        <f t="shared" si="193"/>
        <v>9813925.1563401129</v>
      </c>
      <c r="W38" s="45">
        <f t="shared" si="193"/>
        <v>10161932.631280316</v>
      </c>
      <c r="X38" s="45">
        <f t="shared" ref="X38:AS38" si="194">W43</f>
        <v>10525739.302493727</v>
      </c>
      <c r="Y38" s="45">
        <f t="shared" si="194"/>
        <v>10906355.043071039</v>
      </c>
      <c r="Z38" s="45">
        <f t="shared" si="194"/>
        <v>11304873.61201592</v>
      </c>
      <c r="AA38" s="45">
        <f t="shared" si="194"/>
        <v>11722480.529794423</v>
      </c>
      <c r="AB38" s="45">
        <f t="shared" si="194"/>
        <v>12160461.726048084</v>
      </c>
      <c r="AC38" s="45">
        <f t="shared" si="194"/>
        <v>12620213.036225336</v>
      </c>
      <c r="AD38" s="45">
        <f t="shared" si="194"/>
        <v>13103250.631547486</v>
      </c>
      <c r="AE38" s="45">
        <f t="shared" si="194"/>
        <v>13611222.475152841</v>
      </c>
      <c r="AF38" s="45">
        <f t="shared" si="194"/>
        <v>14145920.90653225</v>
      </c>
      <c r="AG38" s="45">
        <f t="shared" si="194"/>
        <v>14709296.466565523</v>
      </c>
      <c r="AH38" s="45">
        <f t="shared" si="194"/>
        <v>15303473.086683527</v>
      </c>
      <c r="AI38" s="45">
        <f t="shared" si="194"/>
        <v>15930764.778017171</v>
      </c>
      <c r="AJ38" s="45">
        <f t="shared" si="194"/>
        <v>16593693.969964139</v>
      </c>
      <c r="AK38" s="45">
        <f t="shared" si="194"/>
        <v>17295011.662530165</v>
      </c>
      <c r="AL38" s="45">
        <f t="shared" si="194"/>
        <v>18037719.57321988</v>
      </c>
      <c r="AM38" s="45">
        <f t="shared" si="194"/>
        <v>18825094.477311667</v>
      </c>
      <c r="AN38" s="45">
        <f t="shared" si="194"/>
        <v>19660714.960215725</v>
      </c>
      <c r="AO38" s="45">
        <f t="shared" si="194"/>
        <v>20548490.822465375</v>
      </c>
      <c r="AP38" s="45">
        <f t="shared" si="194"/>
        <v>21492695.401926834</v>
      </c>
      <c r="AQ38" s="45">
        <f t="shared" si="194"/>
        <v>22498001.104250889</v>
      </c>
      <c r="AR38" s="45">
        <f t="shared" si="194"/>
        <v>23569518.461671293</v>
      </c>
      <c r="AS38" s="45">
        <f t="shared" si="194"/>
        <v>24712839.072243594</v>
      </c>
      <c r="AT38" s="45">
        <f t="shared" ref="AT38:AX38" si="195">AS43</f>
        <v>25934082.806805279</v>
      </c>
      <c r="AU38" s="45">
        <f t="shared" si="195"/>
        <v>27239949.709643252</v>
      </c>
      <c r="AV38" s="45">
        <f t="shared" si="195"/>
        <v>28637777.061429746</v>
      </c>
      <c r="AW38" s="45">
        <f t="shared" si="195"/>
        <v>30135602.119819555</v>
      </c>
      <c r="AX38" s="45">
        <f t="shared" si="195"/>
        <v>31742231.104615752</v>
      </c>
      <c r="AY38" s="45">
        <f t="shared" ref="AY38:BK38" si="196">AX43</f>
        <v>33467315.051075995</v>
      </c>
      <c r="AZ38" s="45">
        <f t="shared" si="196"/>
        <v>35321433.217262223</v>
      </c>
      <c r="BA38" s="45">
        <f t="shared" si="196"/>
        <v>37316184.799899429</v>
      </c>
      <c r="BB38" s="45">
        <f t="shared" si="196"/>
        <v>39464289.788627684</v>
      </c>
      <c r="BC38" s="45">
        <f t="shared" si="196"/>
        <v>41779699.871490918</v>
      </c>
      <c r="BD38" s="45">
        <f t="shared" si="196"/>
        <v>44277720.395760491</v>
      </c>
      <c r="BE38" s="45">
        <f t="shared" si="196"/>
        <v>46975144.488570631</v>
      </c>
      <c r="BF38" s="45">
        <f t="shared" si="196"/>
        <v>49890400.552258812</v>
      </c>
      <c r="BG38" s="45">
        <f t="shared" si="196"/>
        <v>53043714.47076074</v>
      </c>
      <c r="BH38" s="45">
        <f t="shared" si="196"/>
        <v>56457287.997011147</v>
      </c>
      <c r="BI38" s="45">
        <f t="shared" si="196"/>
        <v>60155494.938261822</v>
      </c>
      <c r="BJ38" s="45">
        <f t="shared" si="196"/>
        <v>64165096.917884052</v>
      </c>
      <c r="BK38" s="45">
        <f t="shared" si="196"/>
        <v>68515480.670042381</v>
      </c>
      <c r="BL38" s="45">
        <f t="shared" ref="BL38:CF38" si="197">BK43</f>
        <v>73238919.019227654</v>
      </c>
      <c r="BM38" s="45">
        <f t="shared" si="197"/>
        <v>78370857.911796883</v>
      </c>
      <c r="BN38" s="45">
        <f t="shared" si="197"/>
        <v>83950232.103342429</v>
      </c>
      <c r="BO38" s="45">
        <f t="shared" si="197"/>
        <v>90019812.366053507</v>
      </c>
      <c r="BP38" s="45">
        <f t="shared" si="197"/>
        <v>96626587.366606995</v>
      </c>
      <c r="BQ38" s="45">
        <f t="shared" si="197"/>
        <v>103822183.68013427</v>
      </c>
      <c r="BR38" s="45">
        <f t="shared" si="197"/>
        <v>111663327.75232027</v>
      </c>
      <c r="BS38" s="45">
        <f t="shared" si="197"/>
        <v>120212354.00285006</v>
      </c>
      <c r="BT38" s="45">
        <f t="shared" si="197"/>
        <v>129537763.68269175</v>
      </c>
      <c r="BU38" s="45">
        <f t="shared" si="197"/>
        <v>139714839.55890429</v>
      </c>
      <c r="BV38" s="45">
        <f t="shared" si="197"/>
        <v>150826322.00797641</v>
      </c>
      <c r="BW38" s="45">
        <f t="shared" si="197"/>
        <v>162963152.65675119</v>
      </c>
      <c r="BX38" s="45">
        <f t="shared" si="197"/>
        <v>176225292.32384276</v>
      </c>
      <c r="BY38" s="45">
        <f t="shared" si="197"/>
        <v>190722620.689686</v>
      </c>
      <c r="BZ38" s="45">
        <f t="shared" si="197"/>
        <v>206575925.86611733</v>
      </c>
      <c r="CA38" s="45">
        <f t="shared" si="197"/>
        <v>223917992.85341567</v>
      </c>
      <c r="CB38" s="45">
        <f t="shared" si="197"/>
        <v>242894800.77146444</v>
      </c>
      <c r="CC38" s="45">
        <f t="shared" si="197"/>
        <v>263666839.74029931</v>
      </c>
      <c r="CD38" s="45">
        <f t="shared" si="197"/>
        <v>286410559.37276828</v>
      </c>
      <c r="CE38" s="45">
        <f t="shared" si="197"/>
        <v>311319962.03823733</v>
      </c>
      <c r="CF38" s="45">
        <f t="shared" si="197"/>
        <v>338608355.37209904</v>
      </c>
      <c r="CG38" s="45">
        <f t="shared" ref="CG38:DD38" si="198">CF43</f>
        <v>368510279.95324808</v>
      </c>
      <c r="CH38" s="45">
        <f t="shared" si="198"/>
        <v>401283629.66383022</v>
      </c>
      <c r="CI38" s="45">
        <f t="shared" si="198"/>
        <v>437211983.99692827</v>
      </c>
      <c r="CJ38" s="45">
        <f t="shared" si="198"/>
        <v>476607173.50433761</v>
      </c>
      <c r="CK38" s="45">
        <f t="shared" si="198"/>
        <v>519812101.69571942</v>
      </c>
      <c r="CL38" s="45">
        <f t="shared" si="198"/>
        <v>567203849.0314678</v>
      </c>
      <c r="CM38" s="45">
        <f t="shared" si="198"/>
        <v>619197087.21577632</v>
      </c>
      <c r="CN38" s="45">
        <f t="shared" si="198"/>
        <v>676247834.81695056</v>
      </c>
      <c r="CO38" s="45">
        <f t="shared" si="198"/>
        <v>738857588.34463012</v>
      </c>
      <c r="CP38" s="45">
        <f t="shared" si="198"/>
        <v>807577866.32645726</v>
      </c>
      <c r="CQ38" s="45">
        <f t="shared" si="198"/>
        <v>883015207.68088806</v>
      </c>
      <c r="CR38" s="45">
        <f t="shared" si="198"/>
        <v>965836669.81241548</v>
      </c>
      <c r="CS38" s="45">
        <f t="shared" si="198"/>
        <v>1056775876.3979987</v>
      </c>
      <c r="CT38" s="45">
        <f t="shared" si="198"/>
        <v>1156639669.8302705</v>
      </c>
      <c r="CU38" s="45">
        <f t="shared" si="198"/>
        <v>1266315428.7795436</v>
      </c>
      <c r="CV38" s="45">
        <f t="shared" si="198"/>
        <v>1386779117.3827314</v>
      </c>
      <c r="CW38" s="45">
        <f t="shared" si="198"/>
        <v>1519104139.2179952</v>
      </c>
      <c r="CX38" s="45">
        <f t="shared" si="198"/>
        <v>1664471076.539695</v>
      </c>
      <c r="CY38" s="45">
        <f t="shared" si="198"/>
        <v>1824178403.2955618</v>
      </c>
      <c r="CZ38" s="45">
        <f t="shared" si="198"/>
        <v>1999654269.300072</v>
      </c>
      <c r="DA38" s="45">
        <f t="shared" si="198"/>
        <v>2192469462.675282</v>
      </c>
      <c r="DB38" s="45">
        <f t="shared" si="198"/>
        <v>2404351668.3813691</v>
      </c>
      <c r="DC38" s="45">
        <f t="shared" si="198"/>
        <v>2637201152.4412217</v>
      </c>
      <c r="DD38" s="45">
        <f t="shared" si="198"/>
        <v>2893108014.4237113</v>
      </c>
    </row>
    <row r="39" spans="2:108">
      <c r="B39" s="53">
        <f>FV(10%/12,120,-B37,0)</f>
        <v>9324452.351279933</v>
      </c>
      <c r="I39" s="51"/>
      <c r="M39" s="38" t="s">
        <v>42</v>
      </c>
      <c r="N39" s="46">
        <v>0</v>
      </c>
      <c r="O39" s="46">
        <f>N39</f>
        <v>0</v>
      </c>
      <c r="P39" s="46">
        <f>O39</f>
        <v>0</v>
      </c>
      <c r="Q39" s="46">
        <f t="shared" ref="Q39:W39" si="199">P39</f>
        <v>0</v>
      </c>
      <c r="R39" s="46">
        <f t="shared" si="199"/>
        <v>0</v>
      </c>
      <c r="S39" s="46">
        <f t="shared" si="199"/>
        <v>0</v>
      </c>
      <c r="T39" s="46">
        <f t="shared" si="199"/>
        <v>0</v>
      </c>
      <c r="U39" s="46">
        <f t="shared" si="199"/>
        <v>0</v>
      </c>
      <c r="V39" s="46">
        <f t="shared" si="199"/>
        <v>0</v>
      </c>
      <c r="W39" s="46">
        <f t="shared" si="199"/>
        <v>0</v>
      </c>
      <c r="X39" s="46">
        <f t="shared" ref="X39:AS39" si="200">W39</f>
        <v>0</v>
      </c>
      <c r="Y39" s="46">
        <f t="shared" si="200"/>
        <v>0</v>
      </c>
      <c r="Z39" s="46">
        <f t="shared" si="200"/>
        <v>0</v>
      </c>
      <c r="AA39" s="46">
        <f t="shared" si="200"/>
        <v>0</v>
      </c>
      <c r="AB39" s="46">
        <f t="shared" si="200"/>
        <v>0</v>
      </c>
      <c r="AC39" s="46">
        <f t="shared" si="200"/>
        <v>0</v>
      </c>
      <c r="AD39" s="46">
        <f t="shared" si="200"/>
        <v>0</v>
      </c>
      <c r="AE39" s="46">
        <f t="shared" si="200"/>
        <v>0</v>
      </c>
      <c r="AF39" s="46">
        <f t="shared" si="200"/>
        <v>0</v>
      </c>
      <c r="AG39" s="46">
        <f t="shared" si="200"/>
        <v>0</v>
      </c>
      <c r="AH39" s="46">
        <f t="shared" si="200"/>
        <v>0</v>
      </c>
      <c r="AI39" s="46">
        <f t="shared" si="200"/>
        <v>0</v>
      </c>
      <c r="AJ39" s="46">
        <f t="shared" si="200"/>
        <v>0</v>
      </c>
      <c r="AK39" s="46">
        <f t="shared" si="200"/>
        <v>0</v>
      </c>
      <c r="AL39" s="46">
        <f t="shared" si="200"/>
        <v>0</v>
      </c>
      <c r="AM39" s="46">
        <f t="shared" si="200"/>
        <v>0</v>
      </c>
      <c r="AN39" s="46">
        <f t="shared" si="200"/>
        <v>0</v>
      </c>
      <c r="AO39" s="46">
        <f t="shared" si="200"/>
        <v>0</v>
      </c>
      <c r="AP39" s="46">
        <f t="shared" si="200"/>
        <v>0</v>
      </c>
      <c r="AQ39" s="46">
        <f t="shared" si="200"/>
        <v>0</v>
      </c>
      <c r="AR39" s="46">
        <f t="shared" si="200"/>
        <v>0</v>
      </c>
      <c r="AS39" s="46">
        <f t="shared" si="200"/>
        <v>0</v>
      </c>
      <c r="AT39" s="46">
        <f t="shared" ref="AT39:AX39" si="201">AS39</f>
        <v>0</v>
      </c>
      <c r="AU39" s="46">
        <f t="shared" si="201"/>
        <v>0</v>
      </c>
      <c r="AV39" s="46">
        <f t="shared" si="201"/>
        <v>0</v>
      </c>
      <c r="AW39" s="46">
        <f t="shared" si="201"/>
        <v>0</v>
      </c>
      <c r="AX39" s="46">
        <f t="shared" si="201"/>
        <v>0</v>
      </c>
      <c r="AY39" s="46">
        <f t="shared" ref="AY39:BK39" si="202">AX39</f>
        <v>0</v>
      </c>
      <c r="AZ39" s="46">
        <f t="shared" si="202"/>
        <v>0</v>
      </c>
      <c r="BA39" s="46">
        <f t="shared" si="202"/>
        <v>0</v>
      </c>
      <c r="BB39" s="46">
        <f t="shared" si="202"/>
        <v>0</v>
      </c>
      <c r="BC39" s="46">
        <f t="shared" si="202"/>
        <v>0</v>
      </c>
      <c r="BD39" s="46">
        <f t="shared" si="202"/>
        <v>0</v>
      </c>
      <c r="BE39" s="46">
        <f t="shared" si="202"/>
        <v>0</v>
      </c>
      <c r="BF39" s="46">
        <f t="shared" si="202"/>
        <v>0</v>
      </c>
      <c r="BG39" s="46">
        <f t="shared" si="202"/>
        <v>0</v>
      </c>
      <c r="BH39" s="46">
        <f t="shared" si="202"/>
        <v>0</v>
      </c>
      <c r="BI39" s="46">
        <f t="shared" si="202"/>
        <v>0</v>
      </c>
      <c r="BJ39" s="46">
        <f t="shared" si="202"/>
        <v>0</v>
      </c>
      <c r="BK39" s="46">
        <f t="shared" si="202"/>
        <v>0</v>
      </c>
      <c r="BL39" s="46">
        <f t="shared" ref="BL39:CF39" si="203">BK39</f>
        <v>0</v>
      </c>
      <c r="BM39" s="46">
        <f t="shared" si="203"/>
        <v>0</v>
      </c>
      <c r="BN39" s="46">
        <f t="shared" si="203"/>
        <v>0</v>
      </c>
      <c r="BO39" s="46">
        <f t="shared" si="203"/>
        <v>0</v>
      </c>
      <c r="BP39" s="46">
        <f t="shared" si="203"/>
        <v>0</v>
      </c>
      <c r="BQ39" s="46">
        <f t="shared" si="203"/>
        <v>0</v>
      </c>
      <c r="BR39" s="46">
        <f t="shared" si="203"/>
        <v>0</v>
      </c>
      <c r="BS39" s="46">
        <f t="shared" si="203"/>
        <v>0</v>
      </c>
      <c r="BT39" s="46">
        <f t="shared" si="203"/>
        <v>0</v>
      </c>
      <c r="BU39" s="46">
        <f t="shared" si="203"/>
        <v>0</v>
      </c>
      <c r="BV39" s="46">
        <f t="shared" si="203"/>
        <v>0</v>
      </c>
      <c r="BW39" s="46">
        <f t="shared" si="203"/>
        <v>0</v>
      </c>
      <c r="BX39" s="46">
        <f t="shared" si="203"/>
        <v>0</v>
      </c>
      <c r="BY39" s="46">
        <f t="shared" si="203"/>
        <v>0</v>
      </c>
      <c r="BZ39" s="46">
        <f t="shared" si="203"/>
        <v>0</v>
      </c>
      <c r="CA39" s="46">
        <f t="shared" si="203"/>
        <v>0</v>
      </c>
      <c r="CB39" s="46">
        <f t="shared" si="203"/>
        <v>0</v>
      </c>
      <c r="CC39" s="46">
        <f t="shared" si="203"/>
        <v>0</v>
      </c>
      <c r="CD39" s="46">
        <f t="shared" si="203"/>
        <v>0</v>
      </c>
      <c r="CE39" s="46">
        <f t="shared" si="203"/>
        <v>0</v>
      </c>
      <c r="CF39" s="46">
        <f t="shared" si="203"/>
        <v>0</v>
      </c>
      <c r="CG39" s="46">
        <f t="shared" ref="CG39:DD39" si="204">CF39</f>
        <v>0</v>
      </c>
      <c r="CH39" s="46">
        <f t="shared" si="204"/>
        <v>0</v>
      </c>
      <c r="CI39" s="46">
        <f t="shared" si="204"/>
        <v>0</v>
      </c>
      <c r="CJ39" s="46">
        <f t="shared" si="204"/>
        <v>0</v>
      </c>
      <c r="CK39" s="46">
        <f t="shared" si="204"/>
        <v>0</v>
      </c>
      <c r="CL39" s="46">
        <f t="shared" si="204"/>
        <v>0</v>
      </c>
      <c r="CM39" s="46">
        <f t="shared" si="204"/>
        <v>0</v>
      </c>
      <c r="CN39" s="46">
        <f t="shared" si="204"/>
        <v>0</v>
      </c>
      <c r="CO39" s="46">
        <f t="shared" si="204"/>
        <v>0</v>
      </c>
      <c r="CP39" s="46">
        <f t="shared" si="204"/>
        <v>0</v>
      </c>
      <c r="CQ39" s="46">
        <f t="shared" si="204"/>
        <v>0</v>
      </c>
      <c r="CR39" s="46">
        <f t="shared" si="204"/>
        <v>0</v>
      </c>
      <c r="CS39" s="46">
        <f t="shared" si="204"/>
        <v>0</v>
      </c>
      <c r="CT39" s="46">
        <f t="shared" si="204"/>
        <v>0</v>
      </c>
      <c r="CU39" s="46">
        <f t="shared" si="204"/>
        <v>0</v>
      </c>
      <c r="CV39" s="46">
        <f t="shared" si="204"/>
        <v>0</v>
      </c>
      <c r="CW39" s="46">
        <f t="shared" si="204"/>
        <v>0</v>
      </c>
      <c r="CX39" s="46">
        <f t="shared" si="204"/>
        <v>0</v>
      </c>
      <c r="CY39" s="46">
        <f t="shared" si="204"/>
        <v>0</v>
      </c>
      <c r="CZ39" s="46">
        <f t="shared" si="204"/>
        <v>0</v>
      </c>
      <c r="DA39" s="46">
        <f t="shared" si="204"/>
        <v>0</v>
      </c>
      <c r="DB39" s="46">
        <f t="shared" si="204"/>
        <v>0</v>
      </c>
      <c r="DC39" s="46">
        <f t="shared" si="204"/>
        <v>0</v>
      </c>
      <c r="DD39" s="46">
        <f t="shared" si="204"/>
        <v>0</v>
      </c>
    </row>
    <row r="40" spans="2:108">
      <c r="I40" s="51">
        <f>I37*12</f>
        <v>546234.66396063252</v>
      </c>
      <c r="M40" s="38" t="s">
        <v>44</v>
      </c>
      <c r="N40" s="45">
        <f>N39*N38</f>
        <v>0</v>
      </c>
      <c r="O40" s="45">
        <f>O39*O38</f>
        <v>0</v>
      </c>
      <c r="P40" s="45">
        <f>P39*P38</f>
        <v>0</v>
      </c>
      <c r="Q40" s="45">
        <f t="shared" ref="Q40:W40" si="205">Q39*Q38</f>
        <v>0</v>
      </c>
      <c r="R40" s="45">
        <f t="shared" si="205"/>
        <v>0</v>
      </c>
      <c r="S40" s="45">
        <f t="shared" si="205"/>
        <v>0</v>
      </c>
      <c r="T40" s="45">
        <f t="shared" si="205"/>
        <v>0</v>
      </c>
      <c r="U40" s="45">
        <f t="shared" si="205"/>
        <v>0</v>
      </c>
      <c r="V40" s="45">
        <f t="shared" si="205"/>
        <v>0</v>
      </c>
      <c r="W40" s="45">
        <f t="shared" si="205"/>
        <v>0</v>
      </c>
      <c r="X40" s="45">
        <f t="shared" ref="X40" si="206">X39*X38</f>
        <v>0</v>
      </c>
      <c r="Y40" s="45">
        <f>Y39*Y38</f>
        <v>0</v>
      </c>
      <c r="Z40" s="45">
        <f t="shared" ref="Z40" si="207">Z39*Z38</f>
        <v>0</v>
      </c>
      <c r="AA40" s="45">
        <f t="shared" ref="AA40" si="208">AA39*AA38</f>
        <v>0</v>
      </c>
      <c r="AB40" s="45">
        <f t="shared" ref="AB40:AD40" si="209">AB39*AB38</f>
        <v>0</v>
      </c>
      <c r="AC40" s="45">
        <f t="shared" si="209"/>
        <v>0</v>
      </c>
      <c r="AD40" s="45">
        <f t="shared" si="209"/>
        <v>0</v>
      </c>
      <c r="AE40" s="45">
        <f t="shared" ref="AE40" si="210">AE39*AE38</f>
        <v>0</v>
      </c>
      <c r="AF40" s="45">
        <f t="shared" ref="AF40" si="211">AF39*AF38</f>
        <v>0</v>
      </c>
      <c r="AG40" s="45">
        <f t="shared" ref="AG40" si="212">AG39*AG38</f>
        <v>0</v>
      </c>
      <c r="AH40" s="45">
        <f t="shared" ref="AH40" si="213">AH39*AH38</f>
        <v>0</v>
      </c>
      <c r="AI40" s="45">
        <f t="shared" ref="AI40:AK40" si="214">AI39*AI38</f>
        <v>0</v>
      </c>
      <c r="AJ40" s="45">
        <f t="shared" si="214"/>
        <v>0</v>
      </c>
      <c r="AK40" s="45">
        <f t="shared" si="214"/>
        <v>0</v>
      </c>
      <c r="AL40" s="45">
        <f t="shared" ref="AL40" si="215">AL39*AL38</f>
        <v>0</v>
      </c>
      <c r="AM40" s="45">
        <f t="shared" ref="AM40" si="216">AM39*AM38</f>
        <v>0</v>
      </c>
      <c r="AN40" s="45">
        <f t="shared" ref="AN40" si="217">AN39*AN38</f>
        <v>0</v>
      </c>
      <c r="AO40" s="45">
        <f t="shared" ref="AO40" si="218">AO39*AO38</f>
        <v>0</v>
      </c>
      <c r="AP40" s="45">
        <f t="shared" ref="AP40:AR40" si="219">AP39*AP38</f>
        <v>0</v>
      </c>
      <c r="AQ40" s="45">
        <f t="shared" si="219"/>
        <v>0</v>
      </c>
      <c r="AR40" s="45">
        <f t="shared" si="219"/>
        <v>0</v>
      </c>
      <c r="AS40" s="45">
        <f t="shared" ref="AS40" si="220">AS39*AS38</f>
        <v>0</v>
      </c>
      <c r="AT40" s="45">
        <f t="shared" ref="AT40" si="221">AT39*AT38</f>
        <v>0</v>
      </c>
      <c r="AU40" s="45">
        <f t="shared" ref="AU40" si="222">AU39*AU38</f>
        <v>0</v>
      </c>
      <c r="AV40" s="45">
        <f t="shared" ref="AV40" si="223">AV39*AV38</f>
        <v>0</v>
      </c>
      <c r="AW40" s="45">
        <f t="shared" ref="AW40" si="224">AW39*AW38</f>
        <v>0</v>
      </c>
      <c r="AX40" s="45">
        <f t="shared" ref="AX40" si="225">AX39*AX38</f>
        <v>0</v>
      </c>
      <c r="AY40" s="45">
        <f t="shared" ref="AY40" si="226">AY39*AY38</f>
        <v>0</v>
      </c>
      <c r="AZ40" s="45">
        <f t="shared" ref="AZ40" si="227">AZ39*AZ38</f>
        <v>0</v>
      </c>
      <c r="BA40" s="45">
        <f t="shared" ref="BA40" si="228">BA39*BA38</f>
        <v>0</v>
      </c>
      <c r="BB40" s="45">
        <f t="shared" ref="BB40" si="229">BB39*BB38</f>
        <v>0</v>
      </c>
      <c r="BC40" s="45">
        <f t="shared" ref="BC40" si="230">BC39*BC38</f>
        <v>0</v>
      </c>
      <c r="BD40" s="45">
        <f t="shared" ref="BD40" si="231">BD39*BD38</f>
        <v>0</v>
      </c>
      <c r="BE40" s="45">
        <f t="shared" ref="BE40" si="232">BE39*BE38</f>
        <v>0</v>
      </c>
      <c r="BF40" s="45">
        <f t="shared" ref="BF40" si="233">BF39*BF38</f>
        <v>0</v>
      </c>
      <c r="BG40" s="45">
        <f t="shared" ref="BG40" si="234">BG39*BG38</f>
        <v>0</v>
      </c>
      <c r="BH40" s="45">
        <f t="shared" ref="BH40" si="235">BH39*BH38</f>
        <v>0</v>
      </c>
      <c r="BI40" s="45">
        <f t="shared" ref="BI40:BJ40" si="236">BI39*BI38</f>
        <v>0</v>
      </c>
      <c r="BJ40" s="45">
        <f t="shared" si="236"/>
        <v>0</v>
      </c>
      <c r="BK40" s="45">
        <f t="shared" ref="BK40" si="237">BK39*BK38</f>
        <v>0</v>
      </c>
      <c r="BL40" s="45">
        <f t="shared" ref="BL40" si="238">BL39*BL38</f>
        <v>0</v>
      </c>
      <c r="BM40" s="45">
        <f t="shared" ref="BM40" si="239">BM39*BM38</f>
        <v>0</v>
      </c>
      <c r="BN40" s="45">
        <f t="shared" ref="BN40" si="240">BN39*BN38</f>
        <v>0</v>
      </c>
      <c r="BO40" s="45">
        <f t="shared" ref="BO40" si="241">BO39*BO38</f>
        <v>0</v>
      </c>
      <c r="BP40" s="45">
        <f t="shared" ref="BP40" si="242">BP39*BP38</f>
        <v>0</v>
      </c>
      <c r="BQ40" s="45">
        <f t="shared" ref="BQ40" si="243">BQ39*BQ38</f>
        <v>0</v>
      </c>
      <c r="BR40" s="45">
        <f t="shared" ref="BR40" si="244">BR39*BR38</f>
        <v>0</v>
      </c>
      <c r="BS40" s="45">
        <f t="shared" ref="BS40" si="245">BS39*BS38</f>
        <v>0</v>
      </c>
      <c r="BT40" s="45">
        <f t="shared" ref="BT40" si="246">BT39*BT38</f>
        <v>0</v>
      </c>
      <c r="BU40" s="45">
        <f t="shared" ref="BU40" si="247">BU39*BU38</f>
        <v>0</v>
      </c>
      <c r="BV40" s="45">
        <f t="shared" ref="BV40" si="248">BV39*BV38</f>
        <v>0</v>
      </c>
      <c r="BW40" s="45">
        <f t="shared" ref="BW40" si="249">BW39*BW38</f>
        <v>0</v>
      </c>
      <c r="BX40" s="45">
        <f t="shared" ref="BX40" si="250">BX39*BX38</f>
        <v>0</v>
      </c>
      <c r="BY40" s="45">
        <f t="shared" ref="BY40" si="251">BY39*BY38</f>
        <v>0</v>
      </c>
      <c r="BZ40" s="45">
        <f t="shared" ref="BZ40" si="252">BZ39*BZ38</f>
        <v>0</v>
      </c>
      <c r="CA40" s="45">
        <f t="shared" ref="CA40" si="253">CA39*CA38</f>
        <v>0</v>
      </c>
      <c r="CB40" s="45">
        <f t="shared" ref="CB40" si="254">CB39*CB38</f>
        <v>0</v>
      </c>
      <c r="CC40" s="45">
        <f t="shared" ref="CC40" si="255">CC39*CC38</f>
        <v>0</v>
      </c>
      <c r="CD40" s="45">
        <f t="shared" ref="CD40" si="256">CD39*CD38</f>
        <v>0</v>
      </c>
      <c r="CE40" s="45">
        <f t="shared" ref="CE40" si="257">CE39*CE38</f>
        <v>0</v>
      </c>
      <c r="CF40" s="45">
        <f t="shared" ref="CF40" si="258">CF39*CF38</f>
        <v>0</v>
      </c>
      <c r="CG40" s="45">
        <f t="shared" ref="CG40" si="259">CG39*CG38</f>
        <v>0</v>
      </c>
      <c r="CH40" s="45">
        <f t="shared" ref="CH40" si="260">CH39*CH38</f>
        <v>0</v>
      </c>
      <c r="CI40" s="45">
        <f t="shared" ref="CI40" si="261">CI39*CI38</f>
        <v>0</v>
      </c>
      <c r="CJ40" s="45">
        <f t="shared" ref="CJ40" si="262">CJ39*CJ38</f>
        <v>0</v>
      </c>
      <c r="CK40" s="45">
        <f t="shared" ref="CK40" si="263">CK39*CK38</f>
        <v>0</v>
      </c>
      <c r="CL40" s="45">
        <f t="shared" ref="CL40" si="264">CL39*CL38</f>
        <v>0</v>
      </c>
      <c r="CM40" s="45">
        <f t="shared" ref="CM40" si="265">CM39*CM38</f>
        <v>0</v>
      </c>
      <c r="CN40" s="45">
        <f t="shared" ref="CN40" si="266">CN39*CN38</f>
        <v>0</v>
      </c>
      <c r="CO40" s="45">
        <f t="shared" ref="CO40" si="267">CO39*CO38</f>
        <v>0</v>
      </c>
      <c r="CP40" s="45">
        <f t="shared" ref="CP40" si="268">CP39*CP38</f>
        <v>0</v>
      </c>
      <c r="CQ40" s="45">
        <f t="shared" ref="CQ40" si="269">CQ39*CQ38</f>
        <v>0</v>
      </c>
      <c r="CR40" s="45">
        <f t="shared" ref="CR40" si="270">CR39*CR38</f>
        <v>0</v>
      </c>
      <c r="CS40" s="45">
        <f t="shared" ref="CS40" si="271">CS39*CS38</f>
        <v>0</v>
      </c>
      <c r="CT40" s="45">
        <f t="shared" ref="CT40" si="272">CT39*CT38</f>
        <v>0</v>
      </c>
      <c r="CU40" s="45">
        <f t="shared" ref="CU40" si="273">CU39*CU38</f>
        <v>0</v>
      </c>
      <c r="CV40" s="45">
        <f t="shared" ref="CV40" si="274">CV39*CV38</f>
        <v>0</v>
      </c>
      <c r="CW40" s="45">
        <f t="shared" ref="CW40" si="275">CW39*CW38</f>
        <v>0</v>
      </c>
      <c r="CX40" s="45">
        <f t="shared" ref="CX40" si="276">CX39*CX38</f>
        <v>0</v>
      </c>
      <c r="CY40" s="45">
        <f t="shared" ref="CY40" si="277">CY39*CY38</f>
        <v>0</v>
      </c>
      <c r="CZ40" s="45">
        <f t="shared" ref="CZ40" si="278">CZ39*CZ38</f>
        <v>0</v>
      </c>
      <c r="DA40" s="45">
        <f t="shared" ref="DA40" si="279">DA39*DA38</f>
        <v>0</v>
      </c>
      <c r="DB40" s="45">
        <f t="shared" ref="DB40" si="280">DB39*DB38</f>
        <v>0</v>
      </c>
      <c r="DC40" s="45">
        <f t="shared" ref="DC40" si="281">DC39*DC38</f>
        <v>0</v>
      </c>
      <c r="DD40" s="45">
        <f t="shared" ref="DD40" si="282">DD39*DD38</f>
        <v>0</v>
      </c>
    </row>
    <row r="41" spans="2:108">
      <c r="M41" s="38" t="s">
        <v>45</v>
      </c>
      <c r="N41" s="46">
        <v>0.1</v>
      </c>
      <c r="O41" s="46">
        <f>N41</f>
        <v>0.1</v>
      </c>
      <c r="P41" s="46">
        <f>O41</f>
        <v>0.1</v>
      </c>
      <c r="Q41" s="46">
        <f t="shared" ref="Q41:W41" si="283">P41</f>
        <v>0.1</v>
      </c>
      <c r="R41" s="46">
        <f t="shared" si="283"/>
        <v>0.1</v>
      </c>
      <c r="S41" s="46">
        <f t="shared" si="283"/>
        <v>0.1</v>
      </c>
      <c r="T41" s="46">
        <f t="shared" si="283"/>
        <v>0.1</v>
      </c>
      <c r="U41" s="46">
        <f t="shared" si="283"/>
        <v>0.1</v>
      </c>
      <c r="V41" s="46">
        <f t="shared" si="283"/>
        <v>0.1</v>
      </c>
      <c r="W41" s="46">
        <f t="shared" si="283"/>
        <v>0.1</v>
      </c>
      <c r="X41" s="46">
        <f t="shared" ref="X41:AS41" si="284">W41</f>
        <v>0.1</v>
      </c>
      <c r="Y41" s="46">
        <f t="shared" si="284"/>
        <v>0.1</v>
      </c>
      <c r="Z41" s="46">
        <f t="shared" si="284"/>
        <v>0.1</v>
      </c>
      <c r="AA41" s="46">
        <f t="shared" si="284"/>
        <v>0.1</v>
      </c>
      <c r="AB41" s="46">
        <f t="shared" si="284"/>
        <v>0.1</v>
      </c>
      <c r="AC41" s="46">
        <f t="shared" si="284"/>
        <v>0.1</v>
      </c>
      <c r="AD41" s="46">
        <f t="shared" si="284"/>
        <v>0.1</v>
      </c>
      <c r="AE41" s="46">
        <f t="shared" si="284"/>
        <v>0.1</v>
      </c>
      <c r="AF41" s="46">
        <f t="shared" si="284"/>
        <v>0.1</v>
      </c>
      <c r="AG41" s="46">
        <f t="shared" si="284"/>
        <v>0.1</v>
      </c>
      <c r="AH41" s="46">
        <f t="shared" si="284"/>
        <v>0.1</v>
      </c>
      <c r="AI41" s="46">
        <f t="shared" si="284"/>
        <v>0.1</v>
      </c>
      <c r="AJ41" s="46">
        <f t="shared" si="284"/>
        <v>0.1</v>
      </c>
      <c r="AK41" s="46">
        <f t="shared" si="284"/>
        <v>0.1</v>
      </c>
      <c r="AL41" s="46">
        <f t="shared" si="284"/>
        <v>0.1</v>
      </c>
      <c r="AM41" s="46">
        <f t="shared" si="284"/>
        <v>0.1</v>
      </c>
      <c r="AN41" s="46">
        <f t="shared" si="284"/>
        <v>0.1</v>
      </c>
      <c r="AO41" s="46">
        <f t="shared" si="284"/>
        <v>0.1</v>
      </c>
      <c r="AP41" s="46">
        <f t="shared" si="284"/>
        <v>0.1</v>
      </c>
      <c r="AQ41" s="46">
        <f t="shared" si="284"/>
        <v>0.1</v>
      </c>
      <c r="AR41" s="46">
        <f t="shared" si="284"/>
        <v>0.1</v>
      </c>
      <c r="AS41" s="46">
        <f t="shared" si="284"/>
        <v>0.1</v>
      </c>
      <c r="AT41" s="46">
        <f t="shared" ref="AT41:AX41" si="285">AS41</f>
        <v>0.1</v>
      </c>
      <c r="AU41" s="46">
        <f t="shared" si="285"/>
        <v>0.1</v>
      </c>
      <c r="AV41" s="46">
        <f t="shared" si="285"/>
        <v>0.1</v>
      </c>
      <c r="AW41" s="46">
        <f t="shared" si="285"/>
        <v>0.1</v>
      </c>
      <c r="AX41" s="46">
        <f t="shared" si="285"/>
        <v>0.1</v>
      </c>
      <c r="AY41" s="46">
        <f t="shared" ref="AY41:BK41" si="286">AX41</f>
        <v>0.1</v>
      </c>
      <c r="AZ41" s="46">
        <f t="shared" si="286"/>
        <v>0.1</v>
      </c>
      <c r="BA41" s="46">
        <f t="shared" si="286"/>
        <v>0.1</v>
      </c>
      <c r="BB41" s="46">
        <f t="shared" si="286"/>
        <v>0.1</v>
      </c>
      <c r="BC41" s="46">
        <f t="shared" si="286"/>
        <v>0.1</v>
      </c>
      <c r="BD41" s="46">
        <f t="shared" si="286"/>
        <v>0.1</v>
      </c>
      <c r="BE41" s="46">
        <f t="shared" si="286"/>
        <v>0.1</v>
      </c>
      <c r="BF41" s="46">
        <f t="shared" si="286"/>
        <v>0.1</v>
      </c>
      <c r="BG41" s="46">
        <f t="shared" si="286"/>
        <v>0.1</v>
      </c>
      <c r="BH41" s="46">
        <f t="shared" si="286"/>
        <v>0.1</v>
      </c>
      <c r="BI41" s="46">
        <f t="shared" si="286"/>
        <v>0.1</v>
      </c>
      <c r="BJ41" s="46">
        <f t="shared" si="286"/>
        <v>0.1</v>
      </c>
      <c r="BK41" s="46">
        <f t="shared" si="286"/>
        <v>0.1</v>
      </c>
      <c r="BL41" s="46">
        <f t="shared" ref="BL41:CF41" si="287">BK41</f>
        <v>0.1</v>
      </c>
      <c r="BM41" s="46">
        <f t="shared" si="287"/>
        <v>0.1</v>
      </c>
      <c r="BN41" s="46">
        <f t="shared" si="287"/>
        <v>0.1</v>
      </c>
      <c r="BO41" s="46">
        <f t="shared" si="287"/>
        <v>0.1</v>
      </c>
      <c r="BP41" s="46">
        <f t="shared" si="287"/>
        <v>0.1</v>
      </c>
      <c r="BQ41" s="46">
        <f t="shared" si="287"/>
        <v>0.1</v>
      </c>
      <c r="BR41" s="46">
        <f t="shared" si="287"/>
        <v>0.1</v>
      </c>
      <c r="BS41" s="46">
        <f t="shared" si="287"/>
        <v>0.1</v>
      </c>
      <c r="BT41" s="46">
        <f t="shared" si="287"/>
        <v>0.1</v>
      </c>
      <c r="BU41" s="46">
        <f t="shared" si="287"/>
        <v>0.1</v>
      </c>
      <c r="BV41" s="46">
        <f t="shared" si="287"/>
        <v>0.1</v>
      </c>
      <c r="BW41" s="46">
        <f t="shared" si="287"/>
        <v>0.1</v>
      </c>
      <c r="BX41" s="46">
        <f t="shared" si="287"/>
        <v>0.1</v>
      </c>
      <c r="BY41" s="46">
        <f t="shared" si="287"/>
        <v>0.1</v>
      </c>
      <c r="BZ41" s="46">
        <f t="shared" si="287"/>
        <v>0.1</v>
      </c>
      <c r="CA41" s="46">
        <f t="shared" si="287"/>
        <v>0.1</v>
      </c>
      <c r="CB41" s="46">
        <f t="shared" si="287"/>
        <v>0.1</v>
      </c>
      <c r="CC41" s="46">
        <f t="shared" si="287"/>
        <v>0.1</v>
      </c>
      <c r="CD41" s="46">
        <f t="shared" si="287"/>
        <v>0.1</v>
      </c>
      <c r="CE41" s="46">
        <f t="shared" si="287"/>
        <v>0.1</v>
      </c>
      <c r="CF41" s="46">
        <f t="shared" si="287"/>
        <v>0.1</v>
      </c>
      <c r="CG41" s="46">
        <f t="shared" ref="CG41:DD41" si="288">CF41</f>
        <v>0.1</v>
      </c>
      <c r="CH41" s="46">
        <f t="shared" si="288"/>
        <v>0.1</v>
      </c>
      <c r="CI41" s="46">
        <f t="shared" si="288"/>
        <v>0.1</v>
      </c>
      <c r="CJ41" s="46">
        <f t="shared" si="288"/>
        <v>0.1</v>
      </c>
      <c r="CK41" s="46">
        <f t="shared" si="288"/>
        <v>0.1</v>
      </c>
      <c r="CL41" s="46">
        <f t="shared" si="288"/>
        <v>0.1</v>
      </c>
      <c r="CM41" s="46">
        <f t="shared" si="288"/>
        <v>0.1</v>
      </c>
      <c r="CN41" s="46">
        <f t="shared" si="288"/>
        <v>0.1</v>
      </c>
      <c r="CO41" s="46">
        <f t="shared" si="288"/>
        <v>0.1</v>
      </c>
      <c r="CP41" s="46">
        <f t="shared" si="288"/>
        <v>0.1</v>
      </c>
      <c r="CQ41" s="46">
        <f t="shared" si="288"/>
        <v>0.1</v>
      </c>
      <c r="CR41" s="46">
        <f t="shared" si="288"/>
        <v>0.1</v>
      </c>
      <c r="CS41" s="46">
        <f t="shared" si="288"/>
        <v>0.1</v>
      </c>
      <c r="CT41" s="46">
        <f t="shared" si="288"/>
        <v>0.1</v>
      </c>
      <c r="CU41" s="46">
        <f t="shared" si="288"/>
        <v>0.1</v>
      </c>
      <c r="CV41" s="46">
        <f t="shared" si="288"/>
        <v>0.1</v>
      </c>
      <c r="CW41" s="46">
        <f t="shared" si="288"/>
        <v>0.1</v>
      </c>
      <c r="CX41" s="46">
        <f t="shared" si="288"/>
        <v>0.1</v>
      </c>
      <c r="CY41" s="46">
        <f t="shared" si="288"/>
        <v>0.1</v>
      </c>
      <c r="CZ41" s="46">
        <f t="shared" si="288"/>
        <v>0.1</v>
      </c>
      <c r="DA41" s="46">
        <f t="shared" si="288"/>
        <v>0.1</v>
      </c>
      <c r="DB41" s="46">
        <f t="shared" si="288"/>
        <v>0.1</v>
      </c>
      <c r="DC41" s="46">
        <f t="shared" si="288"/>
        <v>0.1</v>
      </c>
      <c r="DD41" s="46">
        <f t="shared" si="288"/>
        <v>0.1</v>
      </c>
    </row>
    <row r="42" spans="2:108">
      <c r="M42" s="38" t="s">
        <v>46</v>
      </c>
      <c r="N42" s="45">
        <f>C6</f>
        <v>500000</v>
      </c>
      <c r="O42" s="45">
        <f>(N42*$C$7)+N42</f>
        <v>515000</v>
      </c>
      <c r="P42" s="45">
        <f>(O42*$C$7)+O42</f>
        <v>530450</v>
      </c>
      <c r="Q42" s="45">
        <f t="shared" ref="Q42:W42" si="289">(P42*$C$7)+P42</f>
        <v>546363.5</v>
      </c>
      <c r="R42" s="45">
        <f t="shared" si="289"/>
        <v>562754.40500000003</v>
      </c>
      <c r="S42" s="45">
        <f t="shared" si="289"/>
        <v>579637.03714999999</v>
      </c>
      <c r="T42" s="45">
        <f t="shared" si="289"/>
        <v>597026.14826449996</v>
      </c>
      <c r="U42" s="45">
        <f t="shared" si="289"/>
        <v>614936.93271243491</v>
      </c>
      <c r="V42" s="45">
        <f t="shared" si="289"/>
        <v>633385.040693808</v>
      </c>
      <c r="W42" s="45">
        <f t="shared" si="289"/>
        <v>652386.59191462223</v>
      </c>
      <c r="X42" s="45">
        <f t="shared" ref="X42:AS42" si="290">(W42*$C$7)+W42</f>
        <v>671958.18967206089</v>
      </c>
      <c r="Y42" s="45">
        <f t="shared" si="290"/>
        <v>692116.93536222272</v>
      </c>
      <c r="Z42" s="45">
        <f t="shared" si="290"/>
        <v>712880.44342308945</v>
      </c>
      <c r="AA42" s="45">
        <f t="shared" si="290"/>
        <v>734266.85672578216</v>
      </c>
      <c r="AB42" s="45">
        <f t="shared" si="290"/>
        <v>756294.86242755561</v>
      </c>
      <c r="AC42" s="45">
        <f t="shared" si="290"/>
        <v>778983.70830038225</v>
      </c>
      <c r="AD42" s="45">
        <f t="shared" si="290"/>
        <v>802353.21954939375</v>
      </c>
      <c r="AE42" s="45">
        <f t="shared" si="290"/>
        <v>826423.81613587553</v>
      </c>
      <c r="AF42" s="45">
        <f t="shared" si="290"/>
        <v>851216.53061995178</v>
      </c>
      <c r="AG42" s="45">
        <f t="shared" si="290"/>
        <v>876753.02653855039</v>
      </c>
      <c r="AH42" s="45">
        <f t="shared" si="290"/>
        <v>903055.61733470694</v>
      </c>
      <c r="AI42" s="45">
        <f t="shared" si="290"/>
        <v>930147.2858547481</v>
      </c>
      <c r="AJ42" s="45">
        <f t="shared" si="290"/>
        <v>958051.7044303905</v>
      </c>
      <c r="AK42" s="45">
        <f t="shared" si="290"/>
        <v>986793.2555633022</v>
      </c>
      <c r="AL42" s="45">
        <f t="shared" si="290"/>
        <v>1016397.0532302012</v>
      </c>
      <c r="AM42" s="45">
        <f t="shared" si="290"/>
        <v>1046888.9648271073</v>
      </c>
      <c r="AN42" s="45">
        <f t="shared" si="290"/>
        <v>1078295.6337719206</v>
      </c>
      <c r="AO42" s="45">
        <f t="shared" si="290"/>
        <v>1110644.5027850782</v>
      </c>
      <c r="AP42" s="45">
        <f t="shared" si="290"/>
        <v>1143963.8378686307</v>
      </c>
      <c r="AQ42" s="45">
        <f t="shared" si="290"/>
        <v>1178282.7530046895</v>
      </c>
      <c r="AR42" s="45">
        <f t="shared" si="290"/>
        <v>1213631.2355948302</v>
      </c>
      <c r="AS42" s="45">
        <f t="shared" si="290"/>
        <v>1250040.1726626751</v>
      </c>
      <c r="AT42" s="45">
        <f t="shared" ref="AT42:AX42" si="291">(AS42*$C$7)+AS42</f>
        <v>1287541.3778425553</v>
      </c>
      <c r="AU42" s="45">
        <f t="shared" si="291"/>
        <v>1326167.619177832</v>
      </c>
      <c r="AV42" s="45">
        <f t="shared" si="291"/>
        <v>1365952.647753167</v>
      </c>
      <c r="AW42" s="45">
        <f t="shared" si="291"/>
        <v>1406931.227185762</v>
      </c>
      <c r="AX42" s="45">
        <f t="shared" si="291"/>
        <v>1449139.1640013349</v>
      </c>
      <c r="AY42" s="45">
        <f t="shared" ref="AY42:BK42" si="292">(AX42*$C$7)+AX42</f>
        <v>1492613.3389213749</v>
      </c>
      <c r="AZ42" s="45">
        <f t="shared" si="292"/>
        <v>1537391.7390890161</v>
      </c>
      <c r="BA42" s="45">
        <f t="shared" si="292"/>
        <v>1583513.4912616867</v>
      </c>
      <c r="BB42" s="45">
        <f t="shared" si="292"/>
        <v>1631018.8959995373</v>
      </c>
      <c r="BC42" s="45">
        <f t="shared" si="292"/>
        <v>1679949.4628795234</v>
      </c>
      <c r="BD42" s="45">
        <f t="shared" si="292"/>
        <v>1730347.9467659092</v>
      </c>
      <c r="BE42" s="45">
        <f t="shared" si="292"/>
        <v>1782258.3851688865</v>
      </c>
      <c r="BF42" s="45">
        <f t="shared" si="292"/>
        <v>1835726.1367239531</v>
      </c>
      <c r="BG42" s="45">
        <f t="shared" si="292"/>
        <v>1890797.9208256716</v>
      </c>
      <c r="BH42" s="45">
        <f t="shared" si="292"/>
        <v>1947521.8584504419</v>
      </c>
      <c r="BI42" s="45">
        <f t="shared" si="292"/>
        <v>2005947.5142039552</v>
      </c>
      <c r="BJ42" s="45">
        <f t="shared" si="292"/>
        <v>2066125.9396300737</v>
      </c>
      <c r="BK42" s="45">
        <f t="shared" si="292"/>
        <v>2128109.7178189759</v>
      </c>
      <c r="BL42" s="45">
        <f t="shared" ref="BL42:CF42" si="293">(BK42*$C$7)+BK42</f>
        <v>2191953.009353545</v>
      </c>
      <c r="BM42" s="45">
        <f t="shared" si="293"/>
        <v>2257711.5996341514</v>
      </c>
      <c r="BN42" s="45">
        <f t="shared" si="293"/>
        <v>2325442.947623176</v>
      </c>
      <c r="BO42" s="45">
        <f t="shared" si="293"/>
        <v>2395206.2360518714</v>
      </c>
      <c r="BP42" s="45">
        <f t="shared" si="293"/>
        <v>2467062.4231334277</v>
      </c>
      <c r="BQ42" s="45">
        <f t="shared" si="293"/>
        <v>2541074.2958274307</v>
      </c>
      <c r="BR42" s="45">
        <f t="shared" si="293"/>
        <v>2617306.5247022538</v>
      </c>
      <c r="BS42" s="45">
        <f t="shared" si="293"/>
        <v>2695825.7204433214</v>
      </c>
      <c r="BT42" s="45">
        <f t="shared" si="293"/>
        <v>2776700.4920566212</v>
      </c>
      <c r="BU42" s="45">
        <f t="shared" si="293"/>
        <v>2860001.5068183197</v>
      </c>
      <c r="BV42" s="45">
        <f t="shared" si="293"/>
        <v>2945801.5520228692</v>
      </c>
      <c r="BW42" s="45">
        <f t="shared" si="293"/>
        <v>3034175.5985835553</v>
      </c>
      <c r="BX42" s="45">
        <f t="shared" si="293"/>
        <v>3125200.866541062</v>
      </c>
      <c r="BY42" s="45">
        <f t="shared" si="293"/>
        <v>3218956.892537294</v>
      </c>
      <c r="BZ42" s="45">
        <f t="shared" si="293"/>
        <v>3315525.5993134128</v>
      </c>
      <c r="CA42" s="45">
        <f t="shared" si="293"/>
        <v>3414991.3672928154</v>
      </c>
      <c r="CB42" s="45">
        <f t="shared" si="293"/>
        <v>3517441.1083115996</v>
      </c>
      <c r="CC42" s="45">
        <f t="shared" si="293"/>
        <v>3622964.3415609477</v>
      </c>
      <c r="CD42" s="45">
        <f t="shared" si="293"/>
        <v>3731653.2718077763</v>
      </c>
      <c r="CE42" s="45">
        <f t="shared" si="293"/>
        <v>3843602.8699620096</v>
      </c>
      <c r="CF42" s="45">
        <f t="shared" si="293"/>
        <v>3958910.9560608701</v>
      </c>
      <c r="CG42" s="45">
        <f t="shared" ref="CG42:DD42" si="294">(CF42*$C$7)+CF42</f>
        <v>4077678.2847426962</v>
      </c>
      <c r="CH42" s="45">
        <f t="shared" si="294"/>
        <v>4200008.6332849767</v>
      </c>
      <c r="CI42" s="45">
        <f t="shared" si="294"/>
        <v>4326008.8922835262</v>
      </c>
      <c r="CJ42" s="45">
        <f t="shared" si="294"/>
        <v>4455789.159052032</v>
      </c>
      <c r="CK42" s="45">
        <f t="shared" si="294"/>
        <v>4589462.8338235933</v>
      </c>
      <c r="CL42" s="45">
        <f t="shared" si="294"/>
        <v>4727146.7188383015</v>
      </c>
      <c r="CM42" s="45">
        <f t="shared" si="294"/>
        <v>4868961.1204034509</v>
      </c>
      <c r="CN42" s="45">
        <f t="shared" si="294"/>
        <v>5015029.9540155549</v>
      </c>
      <c r="CO42" s="45">
        <f t="shared" si="294"/>
        <v>5165480.8526360216</v>
      </c>
      <c r="CP42" s="45">
        <f t="shared" si="294"/>
        <v>5320445.2782151019</v>
      </c>
      <c r="CQ42" s="45">
        <f t="shared" si="294"/>
        <v>5480058.6365615549</v>
      </c>
      <c r="CR42" s="45">
        <f t="shared" si="294"/>
        <v>5644460.3956584018</v>
      </c>
      <c r="CS42" s="45">
        <f t="shared" si="294"/>
        <v>5813794.2075281534</v>
      </c>
      <c r="CT42" s="45">
        <f t="shared" si="294"/>
        <v>5988208.0337539976</v>
      </c>
      <c r="CU42" s="45">
        <f t="shared" si="294"/>
        <v>6167854.2747666175</v>
      </c>
      <c r="CV42" s="45">
        <f t="shared" si="294"/>
        <v>6352889.9030096158</v>
      </c>
      <c r="CW42" s="45">
        <f t="shared" si="294"/>
        <v>6543476.6000999045</v>
      </c>
      <c r="CX42" s="45">
        <f t="shared" si="294"/>
        <v>6739780.8981029019</v>
      </c>
      <c r="CY42" s="45">
        <f t="shared" si="294"/>
        <v>6941974.3250459889</v>
      </c>
      <c r="CZ42" s="45">
        <f t="shared" si="294"/>
        <v>7150233.5547973681</v>
      </c>
      <c r="DA42" s="45">
        <f t="shared" si="294"/>
        <v>7364740.5614412893</v>
      </c>
      <c r="DB42" s="45">
        <f t="shared" si="294"/>
        <v>7585682.7782845283</v>
      </c>
      <c r="DC42" s="45">
        <f t="shared" si="294"/>
        <v>7813253.2616330646</v>
      </c>
      <c r="DD42" s="45">
        <f t="shared" si="294"/>
        <v>8047650.8594820565</v>
      </c>
    </row>
    <row r="43" spans="2:108">
      <c r="N43" s="54">
        <f>FV(N41,1,N42,-N38)</f>
        <v>7750000</v>
      </c>
      <c r="O43" s="54">
        <f>FV(O41,1,O42,-O38)</f>
        <v>8010000</v>
      </c>
      <c r="P43" s="54">
        <f>FV(P41,1,P42,-P38)</f>
        <v>8280550</v>
      </c>
      <c r="Q43" s="54">
        <f t="shared" ref="Q43:W43" si="295">FV(Q41,1,Q42,-Q38)</f>
        <v>8562241.5</v>
      </c>
      <c r="R43" s="54">
        <f t="shared" si="295"/>
        <v>8855711.2449999992</v>
      </c>
      <c r="S43" s="54">
        <f t="shared" si="295"/>
        <v>9161645.3323499989</v>
      </c>
      <c r="T43" s="54">
        <f t="shared" si="295"/>
        <v>9480783.7173204981</v>
      </c>
      <c r="U43" s="54">
        <f t="shared" si="295"/>
        <v>9813925.1563401129</v>
      </c>
      <c r="V43" s="54">
        <f t="shared" si="295"/>
        <v>10161932.631280316</v>
      </c>
      <c r="W43" s="54">
        <f t="shared" si="295"/>
        <v>10525739.302493727</v>
      </c>
      <c r="X43" s="54">
        <f t="shared" ref="X43" si="296">FV(X41,1,X42,-X38)</f>
        <v>10906355.043071039</v>
      </c>
      <c r="Y43" s="54">
        <f t="shared" ref="Y43" si="297">FV(Y41,1,Y42,-Y38)</f>
        <v>11304873.61201592</v>
      </c>
      <c r="Z43" s="54">
        <f t="shared" ref="Z43" si="298">FV(Z41,1,Z42,-Z38)</f>
        <v>11722480.529794423</v>
      </c>
      <c r="AA43" s="54">
        <f t="shared" ref="AA43" si="299">FV(AA41,1,AA42,-AA38)</f>
        <v>12160461.726048084</v>
      </c>
      <c r="AB43" s="54">
        <f t="shared" ref="AB43:AD43" si="300">FV(AB41,1,AB42,-AB38)</f>
        <v>12620213.036225336</v>
      </c>
      <c r="AC43" s="54">
        <f t="shared" si="300"/>
        <v>13103250.631547486</v>
      </c>
      <c r="AD43" s="54">
        <f t="shared" si="300"/>
        <v>13611222.475152841</v>
      </c>
      <c r="AE43" s="54">
        <f t="shared" ref="AE43" si="301">FV(AE41,1,AE42,-AE38)</f>
        <v>14145920.90653225</v>
      </c>
      <c r="AF43" s="54">
        <f t="shared" ref="AF43" si="302">FV(AF41,1,AF42,-AF38)</f>
        <v>14709296.466565523</v>
      </c>
      <c r="AG43" s="54">
        <f t="shared" ref="AG43" si="303">FV(AG41,1,AG42,-AG38)</f>
        <v>15303473.086683527</v>
      </c>
      <c r="AH43" s="54">
        <f t="shared" ref="AH43" si="304">FV(AH41,1,AH42,-AH38)</f>
        <v>15930764.778017171</v>
      </c>
      <c r="AI43" s="54">
        <f t="shared" ref="AI43:AK43" si="305">FV(AI41,1,AI42,-AI38)</f>
        <v>16593693.969964139</v>
      </c>
      <c r="AJ43" s="54">
        <f t="shared" si="305"/>
        <v>17295011.662530165</v>
      </c>
      <c r="AK43" s="54">
        <f t="shared" si="305"/>
        <v>18037719.57321988</v>
      </c>
      <c r="AL43" s="54">
        <f t="shared" ref="AL43" si="306">FV(AL41,1,AL42,-AL38)</f>
        <v>18825094.477311667</v>
      </c>
      <c r="AM43" s="54">
        <f t="shared" ref="AM43" si="307">FV(AM41,1,AM42,-AM38)</f>
        <v>19660714.960215725</v>
      </c>
      <c r="AN43" s="54">
        <f t="shared" ref="AN43" si="308">FV(AN41,1,AN42,-AN38)</f>
        <v>20548490.822465375</v>
      </c>
      <c r="AO43" s="54">
        <f t="shared" ref="AO43" si="309">FV(AO41,1,AO42,-AO38)</f>
        <v>21492695.401926834</v>
      </c>
      <c r="AP43" s="54">
        <f t="shared" ref="AP43:AR43" si="310">FV(AP41,1,AP42,-AP38)</f>
        <v>22498001.104250889</v>
      </c>
      <c r="AQ43" s="54">
        <f t="shared" si="310"/>
        <v>23569518.461671293</v>
      </c>
      <c r="AR43" s="54">
        <f t="shared" si="310"/>
        <v>24712839.072243594</v>
      </c>
      <c r="AS43" s="54">
        <f t="shared" ref="AS43" si="311">FV(AS41,1,AS42,-AS38)</f>
        <v>25934082.806805279</v>
      </c>
      <c r="AT43" s="54">
        <f t="shared" ref="AT43" si="312">FV(AT41,1,AT42,-AT38)</f>
        <v>27239949.709643252</v>
      </c>
      <c r="AU43" s="54">
        <f t="shared" ref="AU43" si="313">FV(AU41,1,AU42,-AU38)</f>
        <v>28637777.061429746</v>
      </c>
      <c r="AV43" s="54">
        <f t="shared" ref="AV43" si="314">FV(AV41,1,AV42,-AV38)</f>
        <v>30135602.119819555</v>
      </c>
      <c r="AW43" s="54">
        <f t="shared" ref="AW43" si="315">FV(AW41,1,AW42,-AW38)</f>
        <v>31742231.104615752</v>
      </c>
      <c r="AX43" s="54">
        <f t="shared" ref="AX43" si="316">FV(AX41,1,AX42,-AX38)</f>
        <v>33467315.051075995</v>
      </c>
      <c r="AY43" s="54">
        <f t="shared" ref="AY43" si="317">FV(AY41,1,AY42,-AY38)</f>
        <v>35321433.217262223</v>
      </c>
      <c r="AZ43" s="54">
        <f t="shared" ref="AZ43" si="318">FV(AZ41,1,AZ42,-AZ38)</f>
        <v>37316184.799899429</v>
      </c>
      <c r="BA43" s="54">
        <f t="shared" ref="BA43" si="319">FV(BA41,1,BA42,-BA38)</f>
        <v>39464289.788627684</v>
      </c>
      <c r="BB43" s="54">
        <f t="shared" ref="BB43" si="320">FV(BB41,1,BB42,-BB38)</f>
        <v>41779699.871490918</v>
      </c>
      <c r="BC43" s="54">
        <f t="shared" ref="BC43" si="321">FV(BC41,1,BC42,-BC38)</f>
        <v>44277720.395760491</v>
      </c>
      <c r="BD43" s="54">
        <f t="shared" ref="BD43" si="322">FV(BD41,1,BD42,-BD38)</f>
        <v>46975144.488570631</v>
      </c>
      <c r="BE43" s="54">
        <f t="shared" ref="BE43" si="323">FV(BE41,1,BE42,-BE38)</f>
        <v>49890400.552258812</v>
      </c>
      <c r="BF43" s="54">
        <f t="shared" ref="BF43" si="324">FV(BF41,1,BF42,-BF38)</f>
        <v>53043714.47076074</v>
      </c>
      <c r="BG43" s="54">
        <f t="shared" ref="BG43" si="325">FV(BG41,1,BG42,-BG38)</f>
        <v>56457287.997011147</v>
      </c>
      <c r="BH43" s="54">
        <f t="shared" ref="BH43" si="326">FV(BH41,1,BH42,-BH38)</f>
        <v>60155494.938261822</v>
      </c>
      <c r="BI43" s="54">
        <f t="shared" ref="BI43:BJ43" si="327">FV(BI41,1,BI42,-BI38)</f>
        <v>64165096.917884052</v>
      </c>
      <c r="BJ43" s="54">
        <f t="shared" si="327"/>
        <v>68515480.670042381</v>
      </c>
      <c r="BK43" s="54">
        <f t="shared" ref="BK43" si="328">FV(BK41,1,BK42,-BK38)</f>
        <v>73238919.019227654</v>
      </c>
      <c r="BL43" s="54">
        <f t="shared" ref="BL43" si="329">FV(BL41,1,BL42,-BL38)</f>
        <v>78370857.911796883</v>
      </c>
      <c r="BM43" s="54">
        <f t="shared" ref="BM43" si="330">FV(BM41,1,BM42,-BM38)</f>
        <v>83950232.103342429</v>
      </c>
      <c r="BN43" s="54">
        <f t="shared" ref="BN43" si="331">FV(BN41,1,BN42,-BN38)</f>
        <v>90019812.366053507</v>
      </c>
      <c r="BO43" s="54">
        <f t="shared" ref="BO43" si="332">FV(BO41,1,BO42,-BO38)</f>
        <v>96626587.366606995</v>
      </c>
      <c r="BP43" s="54">
        <f t="shared" ref="BP43" si="333">FV(BP41,1,BP42,-BP38)</f>
        <v>103822183.68013427</v>
      </c>
      <c r="BQ43" s="54">
        <f t="shared" ref="BQ43" si="334">FV(BQ41,1,BQ42,-BQ38)</f>
        <v>111663327.75232027</v>
      </c>
      <c r="BR43" s="54">
        <f t="shared" ref="BR43" si="335">FV(BR41,1,BR42,-BR38)</f>
        <v>120212354.00285006</v>
      </c>
      <c r="BS43" s="54">
        <f t="shared" ref="BS43" si="336">FV(BS41,1,BS42,-BS38)</f>
        <v>129537763.68269175</v>
      </c>
      <c r="BT43" s="54">
        <f t="shared" ref="BT43" si="337">FV(BT41,1,BT42,-BT38)</f>
        <v>139714839.55890429</v>
      </c>
      <c r="BU43" s="54">
        <f t="shared" ref="BU43" si="338">FV(BU41,1,BU42,-BU38)</f>
        <v>150826322.00797641</v>
      </c>
      <c r="BV43" s="54">
        <f t="shared" ref="BV43" si="339">FV(BV41,1,BV42,-BV38)</f>
        <v>162963152.65675119</v>
      </c>
      <c r="BW43" s="54">
        <f t="shared" ref="BW43" si="340">FV(BW41,1,BW42,-BW38)</f>
        <v>176225292.32384276</v>
      </c>
      <c r="BX43" s="54">
        <f t="shared" ref="BX43" si="341">FV(BX41,1,BX42,-BX38)</f>
        <v>190722620.689686</v>
      </c>
      <c r="BY43" s="54">
        <f t="shared" ref="BY43" si="342">FV(BY41,1,BY42,-BY38)</f>
        <v>206575925.86611733</v>
      </c>
      <c r="BZ43" s="54">
        <f t="shared" ref="BZ43" si="343">FV(BZ41,1,BZ42,-BZ38)</f>
        <v>223917992.85341567</v>
      </c>
      <c r="CA43" s="54">
        <f t="shared" ref="CA43" si="344">FV(CA41,1,CA42,-CA38)</f>
        <v>242894800.77146444</v>
      </c>
      <c r="CB43" s="54">
        <f t="shared" ref="CB43" si="345">FV(CB41,1,CB42,-CB38)</f>
        <v>263666839.74029931</v>
      </c>
      <c r="CC43" s="54">
        <f t="shared" ref="CC43" si="346">FV(CC41,1,CC42,-CC38)</f>
        <v>286410559.37276828</v>
      </c>
      <c r="CD43" s="54">
        <f t="shared" ref="CD43" si="347">FV(CD41,1,CD42,-CD38)</f>
        <v>311319962.03823733</v>
      </c>
      <c r="CE43" s="54">
        <f t="shared" ref="CE43" si="348">FV(CE41,1,CE42,-CE38)</f>
        <v>338608355.37209904</v>
      </c>
      <c r="CF43" s="54">
        <f t="shared" ref="CF43" si="349">FV(CF41,1,CF42,-CF38)</f>
        <v>368510279.95324808</v>
      </c>
      <c r="CG43" s="54">
        <f t="shared" ref="CG43" si="350">FV(CG41,1,CG42,-CG38)</f>
        <v>401283629.66383022</v>
      </c>
      <c r="CH43" s="54">
        <f t="shared" ref="CH43" si="351">FV(CH41,1,CH42,-CH38)</f>
        <v>437211983.99692827</v>
      </c>
      <c r="CI43" s="54">
        <f t="shared" ref="CI43" si="352">FV(CI41,1,CI42,-CI38)</f>
        <v>476607173.50433761</v>
      </c>
      <c r="CJ43" s="54">
        <f t="shared" ref="CJ43" si="353">FV(CJ41,1,CJ42,-CJ38)</f>
        <v>519812101.69571942</v>
      </c>
      <c r="CK43" s="54">
        <f t="shared" ref="CK43" si="354">FV(CK41,1,CK42,-CK38)</f>
        <v>567203849.0314678</v>
      </c>
      <c r="CL43" s="54">
        <f t="shared" ref="CL43" si="355">FV(CL41,1,CL42,-CL38)</f>
        <v>619197087.21577632</v>
      </c>
      <c r="CM43" s="54">
        <f t="shared" ref="CM43" si="356">FV(CM41,1,CM42,-CM38)</f>
        <v>676247834.81695056</v>
      </c>
      <c r="CN43" s="54">
        <f t="shared" ref="CN43" si="357">FV(CN41,1,CN42,-CN38)</f>
        <v>738857588.34463012</v>
      </c>
      <c r="CO43" s="54">
        <f t="shared" ref="CO43" si="358">FV(CO41,1,CO42,-CO38)</f>
        <v>807577866.32645726</v>
      </c>
      <c r="CP43" s="54">
        <f t="shared" ref="CP43" si="359">FV(CP41,1,CP42,-CP38)</f>
        <v>883015207.68088806</v>
      </c>
      <c r="CQ43" s="54">
        <f t="shared" ref="CQ43" si="360">FV(CQ41,1,CQ42,-CQ38)</f>
        <v>965836669.81241548</v>
      </c>
      <c r="CR43" s="54">
        <f t="shared" ref="CR43" si="361">FV(CR41,1,CR42,-CR38)</f>
        <v>1056775876.3979987</v>
      </c>
      <c r="CS43" s="54">
        <f t="shared" ref="CS43" si="362">FV(CS41,1,CS42,-CS38)</f>
        <v>1156639669.8302705</v>
      </c>
      <c r="CT43" s="54">
        <f t="shared" ref="CT43" si="363">FV(CT41,1,CT42,-CT38)</f>
        <v>1266315428.7795436</v>
      </c>
      <c r="CU43" s="54">
        <f t="shared" ref="CU43" si="364">FV(CU41,1,CU42,-CU38)</f>
        <v>1386779117.3827314</v>
      </c>
      <c r="CV43" s="54">
        <f t="shared" ref="CV43" si="365">FV(CV41,1,CV42,-CV38)</f>
        <v>1519104139.2179952</v>
      </c>
      <c r="CW43" s="54">
        <f t="shared" ref="CW43" si="366">FV(CW41,1,CW42,-CW38)</f>
        <v>1664471076.539695</v>
      </c>
      <c r="CX43" s="54">
        <f t="shared" ref="CX43" si="367">FV(CX41,1,CX42,-CX38)</f>
        <v>1824178403.2955618</v>
      </c>
      <c r="CY43" s="54">
        <f t="shared" ref="CY43" si="368">FV(CY41,1,CY42,-CY38)</f>
        <v>1999654269.300072</v>
      </c>
      <c r="CZ43" s="54">
        <f t="shared" ref="CZ43" si="369">FV(CZ41,1,CZ42,-CZ38)</f>
        <v>2192469462.675282</v>
      </c>
      <c r="DA43" s="54">
        <f t="shared" ref="DA43" si="370">FV(DA41,1,DA42,-DA38)</f>
        <v>2404351668.3813691</v>
      </c>
      <c r="DB43" s="54">
        <f t="shared" ref="DB43" si="371">FV(DB41,1,DB42,-DB38)</f>
        <v>2637201152.4412217</v>
      </c>
      <c r="DC43" s="54">
        <f t="shared" ref="DC43" si="372">FV(DC41,1,DC42,-DC38)</f>
        <v>2893108014.4237113</v>
      </c>
      <c r="DD43" s="54">
        <f t="shared" ref="DD43" si="373">FV(DD41,1,DD42,-DD38)</f>
        <v>3174371165.0066004</v>
      </c>
    </row>
    <row r="45" spans="2:108">
      <c r="N45" s="42">
        <f>N42/N43</f>
        <v>6.4516129032258063E-2</v>
      </c>
    </row>
    <row r="51" spans="10:14">
      <c r="J51" s="46">
        <v>0.1</v>
      </c>
    </row>
    <row r="52" spans="10:14">
      <c r="J52" s="38" t="s">
        <v>47</v>
      </c>
    </row>
    <row r="53" spans="10:14">
      <c r="J53" s="38" t="s">
        <v>48</v>
      </c>
      <c r="K53" s="55">
        <v>5.8799999999999998E-2</v>
      </c>
      <c r="L53" s="55">
        <v>6.0199999999999997E-2</v>
      </c>
      <c r="M53" s="55">
        <v>6.4500000000000002E-2</v>
      </c>
      <c r="N53" s="55">
        <v>8.199999999999999E-2</v>
      </c>
    </row>
    <row r="54" spans="10:14">
      <c r="J54" s="38" t="s">
        <v>49</v>
      </c>
      <c r="K54" s="38">
        <v>71</v>
      </c>
      <c r="L54" s="38">
        <v>57</v>
      </c>
      <c r="M54" s="38">
        <v>41</v>
      </c>
      <c r="N54" s="38">
        <v>22</v>
      </c>
    </row>
    <row r="55" spans="10:14">
      <c r="J55" s="46">
        <v>0.03</v>
      </c>
    </row>
    <row r="56" spans="10:14">
      <c r="J56" s="38" t="s">
        <v>48</v>
      </c>
      <c r="M56" s="55">
        <v>6.4500000000000002E-2</v>
      </c>
      <c r="N56" s="55">
        <v>8.199999999999999E-2</v>
      </c>
    </row>
    <row r="57" spans="10:14">
      <c r="J57" s="38" t="s">
        <v>49</v>
      </c>
      <c r="M57" s="38">
        <v>95</v>
      </c>
      <c r="N57" s="38">
        <v>27</v>
      </c>
    </row>
    <row r="58" spans="10:14">
      <c r="J58" s="46">
        <v>0.03</v>
      </c>
    </row>
    <row r="59" spans="10:14">
      <c r="J59" s="38" t="s">
        <v>48</v>
      </c>
      <c r="N59" s="55">
        <v>8.199999999999999E-2</v>
      </c>
    </row>
    <row r="60" spans="10:14">
      <c r="J60" s="38" t="s">
        <v>49</v>
      </c>
      <c r="N60" s="38">
        <v>42</v>
      </c>
    </row>
  </sheetData>
  <sheetProtection algorithmName="SHA-512" hashValue="aQljxTquXIx36sVT+1e113g35tfxXneeE5xxyS/VJNQUNOP16tcEMrpGeIXcfcSd7ICnkBAOUqrly66OdBozDQ==" saltValue="dZewp3NcqiSLuSMbz4sL8g==" spinCount="100000" sheet="1" objects="1" scenarios="1"/>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2844-6BED-9A49-8579-83A59447DE42}">
  <sheetPr>
    <pageSetUpPr fitToPage="1"/>
  </sheetPr>
  <dimension ref="D3:G66"/>
  <sheetViews>
    <sheetView showGridLines="0" zoomScale="25" zoomScaleNormal="84" zoomScaleSheetLayoutView="59" workbookViewId="0">
      <selection sqref="A1:XFD1048576"/>
    </sheetView>
  </sheetViews>
  <sheetFormatPr baseColWidth="10" defaultRowHeight="16"/>
  <cols>
    <col min="1" max="1" width="6.1640625" style="38" customWidth="1"/>
    <col min="2" max="2" width="10.33203125" style="38" customWidth="1"/>
    <col min="3" max="3" width="5.33203125" style="38" customWidth="1"/>
    <col min="4" max="4" width="38.1640625" style="38" customWidth="1"/>
    <col min="5" max="5" width="27.1640625" style="38" customWidth="1"/>
    <col min="6" max="16384" width="10.83203125" style="38"/>
  </cols>
  <sheetData>
    <row r="3" spans="4:5" ht="23">
      <c r="D3" s="37"/>
    </row>
    <row r="4" spans="4:5" ht="28">
      <c r="D4" s="39" t="str">
        <f>'Sheet 1'!C2</f>
        <v>Yolandi</v>
      </c>
    </row>
    <row r="5" spans="4:5" ht="28">
      <c r="D5" s="39" t="s">
        <v>24</v>
      </c>
    </row>
    <row r="6" spans="4:5" ht="28">
      <c r="D6" s="39"/>
    </row>
    <row r="7" spans="4:5" ht="23">
      <c r="D7" s="37"/>
    </row>
    <row r="9" spans="4:5" ht="23">
      <c r="D9" s="28" t="str">
        <f>'Sheet 1'!B3</f>
        <v>Age</v>
      </c>
      <c r="E9" s="29">
        <f>'Sheet 1'!C3</f>
        <v>46</v>
      </c>
    </row>
    <row r="10" spans="4:5" ht="23">
      <c r="D10" s="28" t="str">
        <f>'Sheet 1'!B4</f>
        <v>Current Savings</v>
      </c>
      <c r="E10" s="30">
        <f>'Sheet 1'!C4</f>
        <v>0</v>
      </c>
    </row>
    <row r="11" spans="4:5" ht="23">
      <c r="D11" s="28" t="str">
        <f>'Sheet 1'!B5</f>
        <v>Contribution</v>
      </c>
      <c r="E11" s="30">
        <f>'Sheet 1'!C5</f>
        <v>3000</v>
      </c>
    </row>
    <row r="12" spans="4:5" ht="23">
      <c r="D12" s="28" t="str">
        <f>'Sheet 1'!B6</f>
        <v>API</v>
      </c>
      <c r="E12" s="31">
        <f>'Sheet 1'!C6</f>
        <v>0.05</v>
      </c>
    </row>
    <row r="13" spans="4:5" ht="23">
      <c r="D13" s="28" t="str">
        <f>'Sheet 1'!B7</f>
        <v>CPI</v>
      </c>
      <c r="E13" s="31">
        <f>'Sheet 1'!C7</f>
        <v>0.04</v>
      </c>
    </row>
    <row r="14" spans="4:5" ht="23">
      <c r="D14" s="28" t="str">
        <f>'Sheet 1'!B8</f>
        <v>Net Return</v>
      </c>
      <c r="E14" s="31">
        <f>'Sheet 1'!C8</f>
        <v>0.09</v>
      </c>
    </row>
    <row r="15" spans="4:5" ht="23">
      <c r="D15" s="28" t="str">
        <f>'Sheet 1'!B9</f>
        <v>Return at Retirement</v>
      </c>
      <c r="E15" s="31">
        <f>'Sheet 1'!C9</f>
        <v>7.0000000000000007E-2</v>
      </c>
    </row>
    <row r="16" spans="4:5" ht="23">
      <c r="D16" s="28" t="str">
        <f>'Sheet 1'!B10</f>
        <v>Retirement Age</v>
      </c>
      <c r="E16" s="29">
        <f>'Sheet 1'!C10</f>
        <v>65</v>
      </c>
    </row>
    <row r="17" spans="4:7" ht="23">
      <c r="D17" s="28" t="str">
        <f>'Sheet 1'!B11</f>
        <v>Retirement Duration</v>
      </c>
      <c r="E17" s="29">
        <f>'Sheet 1'!C11</f>
        <v>20</v>
      </c>
    </row>
    <row r="18" spans="4:7" ht="23">
      <c r="D18" s="28" t="str">
        <f>'Sheet 1'!B12</f>
        <v>Income Required</v>
      </c>
      <c r="E18" s="30">
        <f>'Sheet 1'!C12</f>
        <v>25000</v>
      </c>
    </row>
    <row r="19" spans="4:7" ht="23">
      <c r="D19" s="32"/>
      <c r="E19" s="32"/>
    </row>
    <row r="20" spans="4:7" ht="23">
      <c r="D20" s="28" t="s">
        <v>25</v>
      </c>
      <c r="E20" s="30">
        <f>'Sheet 1'!$C$23</f>
        <v>2874453.5912390477</v>
      </c>
    </row>
    <row r="21" spans="4:7" ht="23">
      <c r="D21" s="28" t="s">
        <v>12</v>
      </c>
      <c r="E21" s="33">
        <f>'Sheet 1'!$C$24</f>
        <v>15161701.172253834</v>
      </c>
    </row>
    <row r="22" spans="4:7" ht="23">
      <c r="D22" s="32"/>
      <c r="E22" s="34"/>
    </row>
    <row r="23" spans="4:7" ht="24">
      <c r="D23" s="35"/>
    </row>
    <row r="24" spans="4:7" ht="24">
      <c r="D24" s="36" t="str">
        <f>'Sheet 1'!$E$28</f>
        <v xml:space="preserve">Your retirement planning is around 19% sufficient. Your Retirement Fund would last around 6 years. </v>
      </c>
      <c r="E24" s="40"/>
      <c r="F24" s="40"/>
      <c r="G24" s="40"/>
    </row>
    <row r="25" spans="4:7" ht="24">
      <c r="D25" s="36" t="str">
        <f>'Sheet 1'!E29</f>
        <v>Contributing R3000 with current savings of R0 will give you around R2874454.</v>
      </c>
      <c r="E25" s="40"/>
      <c r="F25" s="40"/>
      <c r="G25" s="40"/>
    </row>
    <row r="26" spans="4:7" ht="24">
      <c r="D26" s="36" t="str">
        <f>'Sheet 1'!E30</f>
        <v>To retire with a monthly amount of R25000 in present value you would need around R15161701.</v>
      </c>
      <c r="E26" s="40"/>
      <c r="F26" s="40"/>
      <c r="G26" s="40"/>
    </row>
    <row r="27" spans="4:7" ht="24">
      <c r="D27" s="36"/>
      <c r="E27" s="40"/>
      <c r="F27" s="40"/>
      <c r="G27" s="40"/>
    </row>
    <row r="28" spans="4:7" ht="24">
      <c r="D28" s="36" t="s">
        <v>28</v>
      </c>
      <c r="E28" s="40"/>
      <c r="F28" s="40"/>
      <c r="G28" s="40"/>
    </row>
    <row r="29" spans="4:7" ht="24">
      <c r="D29" s="36" t="s">
        <v>26</v>
      </c>
      <c r="E29" s="40"/>
      <c r="F29" s="40"/>
      <c r="G29" s="40"/>
    </row>
    <row r="66" spans="4:4">
      <c r="D66" s="38" t="s">
        <v>27</v>
      </c>
    </row>
  </sheetData>
  <sheetProtection algorithmName="SHA-512" hashValue="v8I9VMJCQkXgU57ds9UbYEksp6i6Kca50pMTQTlH5xMSrmeY1LhYd0lq95VvNlWTmJfQxJjEMiX9os8N5PZSRg==" saltValue="O1e5GUFATCfN1UQzI4Mhrw==" spinCount="100000" sheet="1" objects="1" scenarios="1"/>
  <pageMargins left="0.7" right="0.7" top="0.75" bottom="0.75" header="0.3" footer="0.3"/>
  <pageSetup paperSize="9" scale="3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Retirement Plan</vt:lpstr>
      <vt:lpstr>Sheet 1</vt:lpstr>
      <vt:lpstr>Sheet4</vt:lpstr>
      <vt:lpstr>Sheet3</vt:lpstr>
      <vt:lpstr>Sheet2</vt:lpstr>
      <vt:lpstr>'Retirement Plan'!Print_Area</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 Pike</dc:creator>
  <cp:lastModifiedBy>Gerald Pike</cp:lastModifiedBy>
  <cp:lastPrinted>2025-10-14T18:11:16Z</cp:lastPrinted>
  <dcterms:created xsi:type="dcterms:W3CDTF">2021-10-09T15:19:59Z</dcterms:created>
  <dcterms:modified xsi:type="dcterms:W3CDTF">2025-12-29T16:17:44Z</dcterms:modified>
</cp:coreProperties>
</file>