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raldpike/Desktop/"/>
    </mc:Choice>
  </mc:AlternateContent>
  <xr:revisionPtr revIDLastSave="0" documentId="13_ncr:1_{E608E1B8-933D-9946-91FA-55499D527935}" xr6:coauthVersionLast="47" xr6:coauthVersionMax="47" xr10:uidLastSave="{00000000-0000-0000-0000-000000000000}"/>
  <bookViews>
    <workbookView xWindow="0" yWindow="500" windowWidth="23540" windowHeight="16400" xr2:uid="{937D70C8-9962-2A43-9AE9-4A79F3BD1C8C}"/>
  </bookViews>
  <sheets>
    <sheet name="Estate &amp; Risk Plan" sheetId="3" r:id="rId1"/>
    <sheet name="Data9" sheetId="20" r:id="rId2"/>
    <sheet name="Data8" sheetId="1" r:id="rId3"/>
    <sheet name="Data7" sheetId="21" r:id="rId4"/>
    <sheet name="Data6" sheetId="17" r:id="rId5"/>
    <sheet name="Data5" sheetId="14" r:id="rId6"/>
    <sheet name="Data4" sheetId="18" r:id="rId7"/>
    <sheet name="Data3" sheetId="7" r:id="rId8"/>
    <sheet name="Data2" sheetId="4" r:id="rId9"/>
    <sheet name="Data" sheetId="6" r:id="rId10"/>
  </sheets>
  <externalReferences>
    <externalReference r:id="rId11"/>
  </externalReferences>
  <definedNames>
    <definedName name="_xlchart.v1.0" hidden="1">'Estate &amp; Risk Plan'!$H$99:$H$105</definedName>
    <definedName name="_xlchart.v1.1" hidden="1">'Estate &amp; Risk Plan'!$I$99:$I$105</definedName>
    <definedName name="_xlnm.Print_Area" localSheetId="3">Data7!$A$1:$K$95</definedName>
    <definedName name="_xlnm.Print_Area" localSheetId="0">'Estate &amp; Risk Plan'!$A$1:$P$234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0" l="1"/>
  <c r="C9" i="20"/>
  <c r="C10" i="20"/>
  <c r="C11" i="20"/>
  <c r="C12" i="20"/>
  <c r="C13" i="20"/>
  <c r="C8" i="20"/>
  <c r="E44" i="20"/>
  <c r="E45" i="20"/>
  <c r="E46" i="20"/>
  <c r="E43" i="20"/>
  <c r="Z30" i="17"/>
  <c r="Z31" i="17"/>
  <c r="Z32" i="17"/>
  <c r="Z29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G34" i="17"/>
  <c r="H34" i="17" s="1"/>
  <c r="I34" i="17" s="1"/>
  <c r="J34" i="17" s="1"/>
  <c r="K34" i="17" s="1"/>
  <c r="L34" i="17" s="1"/>
  <c r="M34" i="17" s="1"/>
  <c r="N34" i="17" s="1"/>
  <c r="O34" i="17" s="1"/>
  <c r="P34" i="17" s="1"/>
  <c r="Q34" i="17" s="1"/>
  <c r="R34" i="17" s="1"/>
  <c r="S34" i="17" s="1"/>
  <c r="T34" i="17" s="1"/>
  <c r="U34" i="17" s="1"/>
  <c r="V34" i="17" s="1"/>
  <c r="W34" i="17" s="1"/>
  <c r="X34" i="17" s="1"/>
  <c r="Y34" i="17" s="1"/>
  <c r="G35" i="17"/>
  <c r="H35" i="17"/>
  <c r="I35" i="17"/>
  <c r="J35" i="17" s="1"/>
  <c r="K35" i="17" s="1"/>
  <c r="L35" i="17" s="1"/>
  <c r="M35" i="17" s="1"/>
  <c r="N35" i="17" s="1"/>
  <c r="O35" i="17" s="1"/>
  <c r="P35" i="17" s="1"/>
  <c r="Q35" i="17" s="1"/>
  <c r="R35" i="17" s="1"/>
  <c r="S35" i="17" s="1"/>
  <c r="T35" i="17" s="1"/>
  <c r="U35" i="17" s="1"/>
  <c r="V35" i="17" s="1"/>
  <c r="W35" i="17" s="1"/>
  <c r="X35" i="17" s="1"/>
  <c r="Y35" i="17" s="1"/>
  <c r="G36" i="17"/>
  <c r="H36" i="17"/>
  <c r="I36" i="17" s="1"/>
  <c r="J36" i="17" s="1"/>
  <c r="K36" i="17" s="1"/>
  <c r="L36" i="17" s="1"/>
  <c r="M36" i="17" s="1"/>
  <c r="N36" i="17" s="1"/>
  <c r="O36" i="17" s="1"/>
  <c r="P36" i="17" s="1"/>
  <c r="Q36" i="17" s="1"/>
  <c r="R36" i="17" s="1"/>
  <c r="S36" i="17" s="1"/>
  <c r="T36" i="17" s="1"/>
  <c r="U36" i="17" s="1"/>
  <c r="V36" i="17" s="1"/>
  <c r="W36" i="17" s="1"/>
  <c r="X36" i="17" s="1"/>
  <c r="Y36" i="17" s="1"/>
  <c r="G37" i="17"/>
  <c r="H37" i="17"/>
  <c r="I37" i="17"/>
  <c r="J37" i="17"/>
  <c r="K37" i="17"/>
  <c r="L37" i="17" s="1"/>
  <c r="M37" i="17" s="1"/>
  <c r="N37" i="17" s="1"/>
  <c r="O37" i="17" s="1"/>
  <c r="P37" i="17" s="1"/>
  <c r="Q37" i="17" s="1"/>
  <c r="R37" i="17" s="1"/>
  <c r="S37" i="17" s="1"/>
  <c r="T37" i="17" s="1"/>
  <c r="U37" i="17" s="1"/>
  <c r="V37" i="17" s="1"/>
  <c r="W37" i="17" s="1"/>
  <c r="X37" i="17" s="1"/>
  <c r="Y37" i="17" s="1"/>
  <c r="F37" i="17"/>
  <c r="F36" i="17"/>
  <c r="F35" i="17"/>
  <c r="F34" i="17"/>
  <c r="F33" i="17"/>
  <c r="E33" i="17"/>
  <c r="G31" i="17"/>
  <c r="H31" i="17"/>
  <c r="I31" i="17"/>
  <c r="J31" i="17" s="1"/>
  <c r="K31" i="17" s="1"/>
  <c r="L31" i="17" s="1"/>
  <c r="M31" i="17" s="1"/>
  <c r="N31" i="17" s="1"/>
  <c r="O31" i="17" s="1"/>
  <c r="P31" i="17" s="1"/>
  <c r="Q31" i="17" s="1"/>
  <c r="R31" i="17" s="1"/>
  <c r="S31" i="17" s="1"/>
  <c r="T31" i="17" s="1"/>
  <c r="U31" i="17" s="1"/>
  <c r="V31" i="17" s="1"/>
  <c r="W31" i="17" s="1"/>
  <c r="X31" i="17" s="1"/>
  <c r="Y31" i="17" s="1"/>
  <c r="F29" i="17"/>
  <c r="G29" i="17" s="1"/>
  <c r="H29" i="17" s="1"/>
  <c r="I29" i="17" s="1"/>
  <c r="J29" i="17" s="1"/>
  <c r="K29" i="17" s="1"/>
  <c r="L29" i="17" s="1"/>
  <c r="M29" i="17" s="1"/>
  <c r="N29" i="17" s="1"/>
  <c r="O29" i="17" s="1"/>
  <c r="P29" i="17" s="1"/>
  <c r="Q29" i="17" s="1"/>
  <c r="R29" i="17" s="1"/>
  <c r="S29" i="17" s="1"/>
  <c r="T29" i="17" s="1"/>
  <c r="U29" i="17" s="1"/>
  <c r="V29" i="17" s="1"/>
  <c r="W29" i="17" s="1"/>
  <c r="X29" i="17" s="1"/>
  <c r="Y29" i="17" s="1"/>
  <c r="F30" i="17"/>
  <c r="F31" i="17"/>
  <c r="F32" i="17"/>
  <c r="G32" i="17" s="1"/>
  <c r="H32" i="17" s="1"/>
  <c r="I32" i="17" s="1"/>
  <c r="J32" i="17" s="1"/>
  <c r="K32" i="17" s="1"/>
  <c r="L32" i="17" s="1"/>
  <c r="M32" i="17" s="1"/>
  <c r="N32" i="17" s="1"/>
  <c r="O32" i="17" s="1"/>
  <c r="P32" i="17" s="1"/>
  <c r="Q32" i="17" s="1"/>
  <c r="R32" i="17" s="1"/>
  <c r="S32" i="17" s="1"/>
  <c r="T32" i="17" s="1"/>
  <c r="U32" i="17" s="1"/>
  <c r="V32" i="17" s="1"/>
  <c r="W32" i="17" s="1"/>
  <c r="X32" i="17" s="1"/>
  <c r="Y32" i="17" s="1"/>
  <c r="F28" i="17"/>
  <c r="G28" i="17" s="1"/>
  <c r="H28" i="17" s="1"/>
  <c r="I28" i="17" s="1"/>
  <c r="J28" i="17" s="1"/>
  <c r="K28" i="17" s="1"/>
  <c r="L28" i="17" s="1"/>
  <c r="M28" i="17" s="1"/>
  <c r="N28" i="17" s="1"/>
  <c r="O28" i="17" s="1"/>
  <c r="P28" i="17" s="1"/>
  <c r="Q28" i="17" s="1"/>
  <c r="R28" i="17" s="1"/>
  <c r="S28" i="17" s="1"/>
  <c r="T28" i="17" s="1"/>
  <c r="U28" i="17" s="1"/>
  <c r="V28" i="17" s="1"/>
  <c r="W28" i="17" s="1"/>
  <c r="X28" i="17" s="1"/>
  <c r="Y28" i="17" s="1"/>
  <c r="E12" i="21"/>
  <c r="B26" i="7"/>
  <c r="B43" i="7"/>
  <c r="B7" i="21"/>
  <c r="E7" i="21"/>
  <c r="B8" i="21"/>
  <c r="E8" i="21"/>
  <c r="B9" i="21"/>
  <c r="E9" i="21"/>
  <c r="B10" i="21"/>
  <c r="E10" i="21"/>
  <c r="B11" i="21"/>
  <c r="E11" i="21"/>
  <c r="B12" i="21"/>
  <c r="B13" i="21"/>
  <c r="E13" i="21"/>
  <c r="B14" i="21"/>
  <c r="E14" i="21"/>
  <c r="E6" i="21"/>
  <c r="B6" i="21"/>
  <c r="A63" i="7"/>
  <c r="A64" i="7"/>
  <c r="A65" i="7"/>
  <c r="B62" i="7"/>
  <c r="H76" i="7"/>
  <c r="C42" i="1"/>
  <c r="C36" i="1"/>
  <c r="C37" i="1"/>
  <c r="C38" i="1"/>
  <c r="C39" i="1"/>
  <c r="C40" i="1"/>
  <c r="C35" i="1"/>
  <c r="G30" i="17" l="1"/>
  <c r="H30" i="17" s="1"/>
  <c r="I30" i="17" s="1"/>
  <c r="J30" i="17" s="1"/>
  <c r="K30" i="17" s="1"/>
  <c r="L30" i="17" s="1"/>
  <c r="M30" i="17" s="1"/>
  <c r="N30" i="17" s="1"/>
  <c r="O30" i="17" s="1"/>
  <c r="P30" i="17" s="1"/>
  <c r="Q30" i="17" s="1"/>
  <c r="R30" i="17" s="1"/>
  <c r="S30" i="17" s="1"/>
  <c r="T30" i="17" s="1"/>
  <c r="U30" i="17" s="1"/>
  <c r="V30" i="17" s="1"/>
  <c r="W30" i="17" s="1"/>
  <c r="X30" i="17" s="1"/>
  <c r="Y30" i="17" s="1"/>
  <c r="C37" i="7"/>
  <c r="C62" i="7" s="1"/>
  <c r="C43" i="7" l="1"/>
  <c r="G231" i="3" l="1"/>
  <c r="C14" i="1"/>
  <c r="C10" i="1"/>
  <c r="C9" i="1"/>
  <c r="C8" i="1"/>
  <c r="C7" i="1"/>
  <c r="C6" i="1"/>
  <c r="C5" i="1"/>
  <c r="H94" i="3"/>
  <c r="K6" i="1" l="1"/>
  <c r="G151" i="3"/>
  <c r="K34" i="4" l="1"/>
  <c r="H18" i="4" s="1"/>
  <c r="E27" i="6"/>
  <c r="E37" i="6"/>
  <c r="H21" i="4"/>
  <c r="I21" i="4" s="1"/>
  <c r="K17" i="4"/>
  <c r="G18" i="4" s="1"/>
  <c r="G25" i="4"/>
  <c r="D30" i="6"/>
  <c r="E16" i="6"/>
  <c r="E17" i="6"/>
  <c r="L65" i="4" l="1"/>
  <c r="L68" i="4"/>
  <c r="G9" i="4"/>
  <c r="L66" i="4" s="1"/>
  <c r="L40" i="4" l="1"/>
  <c r="G22" i="17" l="1"/>
  <c r="H22" i="17" s="1"/>
  <c r="F22" i="17"/>
  <c r="E21" i="17"/>
  <c r="F20" i="17" s="1"/>
  <c r="F21" i="17" s="1"/>
  <c r="G20" i="17" s="1"/>
  <c r="F19" i="17"/>
  <c r="G19" i="17" s="1"/>
  <c r="G21" i="17" l="1"/>
  <c r="H20" i="17" s="1"/>
  <c r="H19" i="17"/>
  <c r="I19" i="17" s="1"/>
  <c r="J19" i="17" s="1"/>
  <c r="K19" i="17" s="1"/>
  <c r="L19" i="17" s="1"/>
  <c r="M19" i="17" s="1"/>
  <c r="N19" i="17" s="1"/>
  <c r="O19" i="17" s="1"/>
  <c r="P19" i="17" s="1"/>
  <c r="Q19" i="17" s="1"/>
  <c r="R19" i="17" s="1"/>
  <c r="S19" i="17" s="1"/>
  <c r="T19" i="17" s="1"/>
  <c r="U19" i="17" s="1"/>
  <c r="V19" i="17" s="1"/>
  <c r="W19" i="17" s="1"/>
  <c r="X19" i="17" s="1"/>
  <c r="Y19" i="17" s="1"/>
  <c r="Z19" i="17" s="1"/>
  <c r="AA19" i="17" s="1"/>
  <c r="AB19" i="17" s="1"/>
  <c r="AC19" i="17" s="1"/>
  <c r="AD19" i="17" s="1"/>
  <c r="AE19" i="17" s="1"/>
  <c r="AF19" i="17" s="1"/>
  <c r="AG19" i="17" s="1"/>
  <c r="AH19" i="17" s="1"/>
  <c r="I22" i="17"/>
  <c r="J47" i="18"/>
  <c r="H21" i="17" l="1"/>
  <c r="I20" i="17" s="1"/>
  <c r="I21" i="17" s="1"/>
  <c r="J20" i="17" s="1"/>
  <c r="J22" i="17"/>
  <c r="AQ26" i="18"/>
  <c r="AQ31" i="18"/>
  <c r="U35" i="18"/>
  <c r="U31" i="18" s="1"/>
  <c r="V31" i="18" s="1"/>
  <c r="U36" i="18"/>
  <c r="U37" i="18" s="1"/>
  <c r="V35" i="18" s="1"/>
  <c r="K31" i="18"/>
  <c r="L31" i="18" s="1"/>
  <c r="M31" i="18" s="1"/>
  <c r="N31" i="18" s="1"/>
  <c r="O31" i="18" s="1"/>
  <c r="P31" i="18" s="1"/>
  <c r="Q31" i="18" s="1"/>
  <c r="R31" i="18" s="1"/>
  <c r="S31" i="18" s="1"/>
  <c r="T31" i="18" s="1"/>
  <c r="L35" i="18"/>
  <c r="L36" i="18"/>
  <c r="M36" i="18"/>
  <c r="N36" i="18" s="1"/>
  <c r="L37" i="18"/>
  <c r="M35" i="18" s="1"/>
  <c r="J31" i="18"/>
  <c r="K37" i="18"/>
  <c r="K36" i="18"/>
  <c r="K35" i="18"/>
  <c r="J37" i="18"/>
  <c r="K22" i="17" l="1"/>
  <c r="J21" i="17"/>
  <c r="K20" i="17" s="1"/>
  <c r="V36" i="18"/>
  <c r="O36" i="18"/>
  <c r="M37" i="18"/>
  <c r="N35" i="18" s="1"/>
  <c r="N37" i="18" s="1"/>
  <c r="O35" i="18" s="1"/>
  <c r="K21" i="17" l="1"/>
  <c r="L20" i="17" s="1"/>
  <c r="L22" i="17"/>
  <c r="W36" i="18"/>
  <c r="V37" i="18"/>
  <c r="W35" i="18" s="1"/>
  <c r="W31" i="18" s="1"/>
  <c r="P36" i="18"/>
  <c r="O37" i="18"/>
  <c r="P35" i="18" s="1"/>
  <c r="M22" i="17" l="1"/>
  <c r="L21" i="17"/>
  <c r="M20" i="17" s="1"/>
  <c r="W37" i="18"/>
  <c r="X35" i="18" s="1"/>
  <c r="X31" i="18" s="1"/>
  <c r="X36" i="18"/>
  <c r="P37" i="18"/>
  <c r="Q35" i="18" s="1"/>
  <c r="Q36" i="18"/>
  <c r="M21" i="17" l="1"/>
  <c r="N20" i="17" s="1"/>
  <c r="N22" i="17"/>
  <c r="Y36" i="18"/>
  <c r="X37" i="18"/>
  <c r="Y35" i="18" s="1"/>
  <c r="Y31" i="18" s="1"/>
  <c r="R36" i="18"/>
  <c r="Q37" i="18"/>
  <c r="R35" i="18" s="1"/>
  <c r="O22" i="17" l="1"/>
  <c r="N21" i="17"/>
  <c r="O20" i="17" s="1"/>
  <c r="Z36" i="18"/>
  <c r="Y37" i="18"/>
  <c r="Z35" i="18" s="1"/>
  <c r="Z31" i="18" s="1"/>
  <c r="S36" i="18"/>
  <c r="R37" i="18"/>
  <c r="S35" i="18" s="1"/>
  <c r="P22" i="17" l="1"/>
  <c r="O21" i="17"/>
  <c r="P20" i="17" s="1"/>
  <c r="AA36" i="18"/>
  <c r="Z37" i="18"/>
  <c r="AA35" i="18" s="1"/>
  <c r="AA31" i="18" s="1"/>
  <c r="T36" i="18"/>
  <c r="S37" i="18"/>
  <c r="T35" i="18" s="1"/>
  <c r="P21" i="17" l="1"/>
  <c r="Q20" i="17" s="1"/>
  <c r="Q22" i="17"/>
  <c r="AA37" i="18"/>
  <c r="AB35" i="18" s="1"/>
  <c r="AB31" i="18" s="1"/>
  <c r="AB36" i="18"/>
  <c r="T37" i="18"/>
  <c r="R22" i="17" l="1"/>
  <c r="Q21" i="17"/>
  <c r="R20" i="17" s="1"/>
  <c r="AC36" i="18"/>
  <c r="AB37" i="18"/>
  <c r="AC35" i="18" s="1"/>
  <c r="AC31" i="18" s="1"/>
  <c r="AD26" i="18"/>
  <c r="AE26" i="18" s="1"/>
  <c r="AF26" i="18" s="1"/>
  <c r="AG26" i="18" s="1"/>
  <c r="AH26" i="18" s="1"/>
  <c r="AI26" i="18" s="1"/>
  <c r="AJ26" i="18" s="1"/>
  <c r="AK26" i="18" s="1"/>
  <c r="AL26" i="18" s="1"/>
  <c r="AM26" i="18" s="1"/>
  <c r="AN26" i="18" s="1"/>
  <c r="AO26" i="18" s="1"/>
  <c r="AP26" i="18" s="1"/>
  <c r="AD27" i="18"/>
  <c r="AE27" i="18"/>
  <c r="AF27" i="18"/>
  <c r="AG27" i="18" s="1"/>
  <c r="AH27" i="18" s="1"/>
  <c r="AI27" i="18" s="1"/>
  <c r="AJ27" i="18" s="1"/>
  <c r="AK27" i="18" s="1"/>
  <c r="AL27" i="18" s="1"/>
  <c r="AM27" i="18" s="1"/>
  <c r="AN27" i="18" s="1"/>
  <c r="AO27" i="18" s="1"/>
  <c r="AP27" i="18" s="1"/>
  <c r="AD28" i="18"/>
  <c r="AE28" i="18"/>
  <c r="AF28" i="18"/>
  <c r="AG28" i="18"/>
  <c r="AH28" i="18"/>
  <c r="AI28" i="18"/>
  <c r="AJ28" i="18" s="1"/>
  <c r="AK28" i="18" s="1"/>
  <c r="AL28" i="18" s="1"/>
  <c r="AM28" i="18" s="1"/>
  <c r="AN28" i="18" s="1"/>
  <c r="AO28" i="18" s="1"/>
  <c r="AP28" i="18" s="1"/>
  <c r="T26" i="18"/>
  <c r="U26" i="18"/>
  <c r="V26" i="18"/>
  <c r="W26" i="18"/>
  <c r="X26" i="18" s="1"/>
  <c r="Y26" i="18" s="1"/>
  <c r="Z26" i="18" s="1"/>
  <c r="AA26" i="18" s="1"/>
  <c r="AB26" i="18" s="1"/>
  <c r="AC26" i="18" s="1"/>
  <c r="T27" i="18"/>
  <c r="U27" i="18"/>
  <c r="V27" i="18"/>
  <c r="W27" i="18"/>
  <c r="X27" i="18"/>
  <c r="Y27" i="18"/>
  <c r="Z27" i="18" s="1"/>
  <c r="AA27" i="18" s="1"/>
  <c r="AB27" i="18" s="1"/>
  <c r="AC27" i="18" s="1"/>
  <c r="T28" i="18"/>
  <c r="U28" i="18"/>
  <c r="V28" i="18"/>
  <c r="W28" i="18"/>
  <c r="X28" i="18" s="1"/>
  <c r="Y28" i="18" s="1"/>
  <c r="Z28" i="18" s="1"/>
  <c r="AA28" i="18" s="1"/>
  <c r="AB28" i="18" s="1"/>
  <c r="AC28" i="18" s="1"/>
  <c r="K26" i="18"/>
  <c r="L26" i="18" s="1"/>
  <c r="M26" i="18" s="1"/>
  <c r="N26" i="18" s="1"/>
  <c r="O26" i="18" s="1"/>
  <c r="P26" i="18" s="1"/>
  <c r="Q26" i="18" s="1"/>
  <c r="R26" i="18" s="1"/>
  <c r="S26" i="18" s="1"/>
  <c r="K27" i="18"/>
  <c r="L27" i="18"/>
  <c r="M27" i="18"/>
  <c r="N27" i="18"/>
  <c r="O27" i="18"/>
  <c r="P27" i="18"/>
  <c r="Q27" i="18"/>
  <c r="R27" i="18"/>
  <c r="S27" i="18" s="1"/>
  <c r="K28" i="18"/>
  <c r="L28" i="18"/>
  <c r="M28" i="18"/>
  <c r="N28" i="18"/>
  <c r="O28" i="18"/>
  <c r="P28" i="18"/>
  <c r="Q28" i="18"/>
  <c r="R28" i="18" s="1"/>
  <c r="S28" i="18" s="1"/>
  <c r="J26" i="18"/>
  <c r="J27" i="18"/>
  <c r="J28" i="18"/>
  <c r="R21" i="17" l="1"/>
  <c r="S20" i="17" s="1"/>
  <c r="S22" i="17"/>
  <c r="AD36" i="18"/>
  <c r="AC37" i="18"/>
  <c r="AD35" i="18" s="1"/>
  <c r="AD31" i="18" s="1"/>
  <c r="S21" i="17" l="1"/>
  <c r="T20" i="17" s="1"/>
  <c r="T22" i="17"/>
  <c r="AE36" i="18"/>
  <c r="AD37" i="18"/>
  <c r="AE35" i="18" s="1"/>
  <c r="AE31" i="18" s="1"/>
  <c r="T21" i="17" l="1"/>
  <c r="U20" i="17" s="1"/>
  <c r="U22" i="17"/>
  <c r="AF36" i="18"/>
  <c r="AE37" i="18"/>
  <c r="AF35" i="18" s="1"/>
  <c r="AF31" i="18" s="1"/>
  <c r="I102" i="3"/>
  <c r="V22" i="17" l="1"/>
  <c r="U21" i="17"/>
  <c r="V20" i="17" s="1"/>
  <c r="AG36" i="18"/>
  <c r="AF37" i="18"/>
  <c r="AG35" i="18" s="1"/>
  <c r="AG31" i="18" s="1"/>
  <c r="W22" i="17" l="1"/>
  <c r="X22" i="17" s="1"/>
  <c r="Y22" i="17" s="1"/>
  <c r="Z22" i="17" s="1"/>
  <c r="V21" i="17"/>
  <c r="W20" i="17" s="1"/>
  <c r="W21" i="17" s="1"/>
  <c r="X20" i="17" s="1"/>
  <c r="X21" i="17" s="1"/>
  <c r="Y20" i="17" s="1"/>
  <c r="Y21" i="17" s="1"/>
  <c r="Z20" i="17" s="1"/>
  <c r="AH36" i="18"/>
  <c r="AG37" i="18"/>
  <c r="AH35" i="18" s="1"/>
  <c r="AH31" i="18" s="1"/>
  <c r="K39" i="1"/>
  <c r="AA22" i="17" l="1"/>
  <c r="Z21" i="17"/>
  <c r="AA20" i="17" s="1"/>
  <c r="AI36" i="18"/>
  <c r="AH37" i="18"/>
  <c r="AI35" i="18" s="1"/>
  <c r="AI31" i="18" s="1"/>
  <c r="AA21" i="17" l="1"/>
  <c r="AB20" i="17" s="1"/>
  <c r="AB22" i="17"/>
  <c r="AI37" i="18"/>
  <c r="AJ35" i="18" s="1"/>
  <c r="AJ31" i="18" s="1"/>
  <c r="AJ36" i="18"/>
  <c r="E12" i="17"/>
  <c r="F12" i="17" s="1"/>
  <c r="E9" i="17"/>
  <c r="F9" i="17" s="1"/>
  <c r="G9" i="17" s="1"/>
  <c r="H9" i="17" s="1"/>
  <c r="I9" i="17" s="1"/>
  <c r="J9" i="17" s="1"/>
  <c r="K9" i="17" s="1"/>
  <c r="L9" i="17" s="1"/>
  <c r="M9" i="17" s="1"/>
  <c r="N9" i="17" s="1"/>
  <c r="O9" i="17" s="1"/>
  <c r="P9" i="17" s="1"/>
  <c r="Q9" i="17" s="1"/>
  <c r="R9" i="17" s="1"/>
  <c r="S9" i="17" s="1"/>
  <c r="T9" i="17" s="1"/>
  <c r="U9" i="17" s="1"/>
  <c r="D10" i="17"/>
  <c r="E10" i="17" s="1"/>
  <c r="F10" i="17" s="1"/>
  <c r="G10" i="17" s="1"/>
  <c r="H10" i="17" s="1"/>
  <c r="I10" i="17" s="1"/>
  <c r="J10" i="17" s="1"/>
  <c r="K10" i="17" s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E4" i="17"/>
  <c r="F4" i="17" s="1"/>
  <c r="G4" i="17" s="1"/>
  <c r="H4" i="17" s="1"/>
  <c r="I4" i="17" s="1"/>
  <c r="J4" i="17" s="1"/>
  <c r="K4" i="17" s="1"/>
  <c r="L4" i="17" s="1"/>
  <c r="M4" i="17" s="1"/>
  <c r="N4" i="17" s="1"/>
  <c r="O4" i="17" s="1"/>
  <c r="P4" i="17" s="1"/>
  <c r="Q4" i="17" s="1"/>
  <c r="R4" i="17" s="1"/>
  <c r="S4" i="17" s="1"/>
  <c r="T4" i="17" s="1"/>
  <c r="U4" i="17" s="1"/>
  <c r="V4" i="17" s="1"/>
  <c r="W4" i="17" s="1"/>
  <c r="X4" i="17" s="1"/>
  <c r="Y4" i="17" s="1"/>
  <c r="Z4" i="17" s="1"/>
  <c r="AA4" i="17" s="1"/>
  <c r="AB4" i="17" s="1"/>
  <c r="AC4" i="17" s="1"/>
  <c r="AD4" i="17" s="1"/>
  <c r="AE4" i="17" s="1"/>
  <c r="AF4" i="17" s="1"/>
  <c r="E3" i="17"/>
  <c r="F3" i="17" s="1"/>
  <c r="G3" i="17" s="1"/>
  <c r="H3" i="17" s="1"/>
  <c r="I3" i="17" s="1"/>
  <c r="J3" i="17" s="1"/>
  <c r="K3" i="17" s="1"/>
  <c r="L3" i="17" s="1"/>
  <c r="M3" i="17" s="1"/>
  <c r="N3" i="17" s="1"/>
  <c r="O3" i="17" s="1"/>
  <c r="P3" i="17" s="1"/>
  <c r="Q3" i="17" s="1"/>
  <c r="R3" i="17" s="1"/>
  <c r="S3" i="17" s="1"/>
  <c r="T3" i="17" s="1"/>
  <c r="U3" i="17" s="1"/>
  <c r="V3" i="17" s="1"/>
  <c r="W3" i="17" s="1"/>
  <c r="X3" i="17" s="1"/>
  <c r="Y3" i="17" s="1"/>
  <c r="Z3" i="17" s="1"/>
  <c r="AA3" i="17" s="1"/>
  <c r="AB3" i="17" s="1"/>
  <c r="AC3" i="17" s="1"/>
  <c r="AD3" i="17" s="1"/>
  <c r="AE3" i="17" s="1"/>
  <c r="AF3" i="17" s="1"/>
  <c r="AG3" i="17" s="1"/>
  <c r="AH3" i="17" s="1"/>
  <c r="AC22" i="17" l="1"/>
  <c r="AB21" i="17"/>
  <c r="AC20" i="17" s="1"/>
  <c r="AJ37" i="18"/>
  <c r="AK35" i="18" s="1"/>
  <c r="AK31" i="18" s="1"/>
  <c r="AK36" i="18"/>
  <c r="AG4" i="17"/>
  <c r="G12" i="17"/>
  <c r="AD22" i="17" l="1"/>
  <c r="AC21" i="17"/>
  <c r="AD20" i="17" s="1"/>
  <c r="AL36" i="18"/>
  <c r="AK37" i="18"/>
  <c r="AL35" i="18" s="1"/>
  <c r="AL31" i="18" s="1"/>
  <c r="H12" i="17"/>
  <c r="I12" i="17" s="1"/>
  <c r="J12" i="17" s="1"/>
  <c r="AH4" i="17"/>
  <c r="AH5" i="17" s="1"/>
  <c r="AG5" i="17" s="1"/>
  <c r="AF5" i="17" s="1"/>
  <c r="AE5" i="17" s="1"/>
  <c r="AD5" i="17" s="1"/>
  <c r="AC5" i="17" s="1"/>
  <c r="AB5" i="17" s="1"/>
  <c r="AA5" i="17" s="1"/>
  <c r="Z5" i="17" s="1"/>
  <c r="Y5" i="17" s="1"/>
  <c r="X5" i="17" s="1"/>
  <c r="W5" i="17" s="1"/>
  <c r="V5" i="17" s="1"/>
  <c r="U5" i="17" s="1"/>
  <c r="T5" i="17" s="1"/>
  <c r="S5" i="17" s="1"/>
  <c r="R5" i="17" s="1"/>
  <c r="Q5" i="17" s="1"/>
  <c r="P5" i="17" s="1"/>
  <c r="O5" i="17" s="1"/>
  <c r="N5" i="17" s="1"/>
  <c r="M5" i="17" s="1"/>
  <c r="L5" i="17" s="1"/>
  <c r="K5" i="17" s="1"/>
  <c r="J5" i="17" s="1"/>
  <c r="I5" i="17" s="1"/>
  <c r="H5" i="17" s="1"/>
  <c r="G5" i="17" s="1"/>
  <c r="F5" i="17" s="1"/>
  <c r="E5" i="17" s="1"/>
  <c r="D5" i="17" s="1"/>
  <c r="D11" i="17" s="1"/>
  <c r="E11" i="17" s="1"/>
  <c r="F11" i="17" s="1"/>
  <c r="G11" i="17" s="1"/>
  <c r="H11" i="17" s="1"/>
  <c r="I11" i="17" s="1"/>
  <c r="AD21" i="17" l="1"/>
  <c r="AE20" i="17" s="1"/>
  <c r="AE22" i="17"/>
  <c r="AL37" i="18"/>
  <c r="AM35" i="18" s="1"/>
  <c r="AM31" i="18" s="1"/>
  <c r="AM36" i="18"/>
  <c r="K12" i="17"/>
  <c r="J11" i="17"/>
  <c r="AE21" i="17" l="1"/>
  <c r="AF20" i="17" s="1"/>
  <c r="AF22" i="17"/>
  <c r="AN36" i="18"/>
  <c r="AM37" i="18"/>
  <c r="AN35" i="18" s="1"/>
  <c r="AN31" i="18" s="1"/>
  <c r="L12" i="17"/>
  <c r="M12" i="17" s="1"/>
  <c r="N12" i="17" s="1"/>
  <c r="O12" i="17" s="1"/>
  <c r="P12" i="17" s="1"/>
  <c r="K11" i="17"/>
  <c r="L11" i="17" s="1"/>
  <c r="M11" i="17" s="1"/>
  <c r="N11" i="17" s="1"/>
  <c r="O11" i="17" s="1"/>
  <c r="AF21" i="17" l="1"/>
  <c r="AG20" i="17" s="1"/>
  <c r="AG22" i="17"/>
  <c r="AH22" i="17" s="1"/>
  <c r="AO36" i="18"/>
  <c r="AN37" i="18"/>
  <c r="AO35" i="18" s="1"/>
  <c r="AO31" i="18" s="1"/>
  <c r="Q12" i="17"/>
  <c r="P11" i="17"/>
  <c r="AG21" i="17" l="1"/>
  <c r="AH20" i="17" s="1"/>
  <c r="AH21" i="17" s="1"/>
  <c r="AO37" i="18"/>
  <c r="AP35" i="18" s="1"/>
  <c r="AP31" i="18" s="1"/>
  <c r="AP36" i="18"/>
  <c r="AP37" i="18" s="1"/>
  <c r="R12" i="17"/>
  <c r="Q11" i="17"/>
  <c r="B3" i="14"/>
  <c r="S12" i="17" l="1"/>
  <c r="R11" i="17"/>
  <c r="G51" i="14"/>
  <c r="E51" i="14" s="1"/>
  <c r="C41" i="14"/>
  <c r="C42" i="14" s="1"/>
  <c r="C43" i="14" s="1"/>
  <c r="C44" i="14" s="1"/>
  <c r="C45" i="14" s="1"/>
  <c r="C46" i="14" s="1"/>
  <c r="C47" i="14" s="1"/>
  <c r="C48" i="14" s="1"/>
  <c r="C49" i="14" s="1"/>
  <c r="C50" i="14" s="1"/>
  <c r="C40" i="14"/>
  <c r="F3" i="14"/>
  <c r="D3" i="14"/>
  <c r="E4" i="14"/>
  <c r="S11" i="17" l="1"/>
  <c r="T12" i="17"/>
  <c r="F4" i="14"/>
  <c r="E5" i="14"/>
  <c r="B4" i="14"/>
  <c r="D4" i="14" s="1"/>
  <c r="T11" i="17" l="1"/>
  <c r="U12" i="17"/>
  <c r="U11" i="17" s="1"/>
  <c r="B5" i="14"/>
  <c r="B6" i="14" s="1"/>
  <c r="E6" i="14"/>
  <c r="F5" i="14"/>
  <c r="C15" i="1"/>
  <c r="D5" i="14" l="1"/>
  <c r="E7" i="14"/>
  <c r="F6" i="14"/>
  <c r="B7" i="14"/>
  <c r="D6" i="14"/>
  <c r="C12" i="1"/>
  <c r="A15" i="1"/>
  <c r="A16" i="1"/>
  <c r="A17" i="1"/>
  <c r="B120" i="1"/>
  <c r="C120" i="1"/>
  <c r="E54" i="1" s="1"/>
  <c r="B121" i="1"/>
  <c r="B122" i="1"/>
  <c r="C122" i="1"/>
  <c r="E56" i="1" s="1"/>
  <c r="B123" i="1"/>
  <c r="C123" i="1"/>
  <c r="E57" i="1" s="1"/>
  <c r="B102" i="1"/>
  <c r="D36" i="1" s="1"/>
  <c r="B103" i="1"/>
  <c r="D37" i="1" s="1"/>
  <c r="B104" i="1"/>
  <c r="D38" i="1" s="1"/>
  <c r="B105" i="1"/>
  <c r="D39" i="1" s="1"/>
  <c r="B107" i="1"/>
  <c r="C107" i="1"/>
  <c r="E41" i="1" s="1"/>
  <c r="B108" i="1"/>
  <c r="C108" i="1"/>
  <c r="E42" i="1" s="1"/>
  <c r="B109" i="1"/>
  <c r="C109" i="1"/>
  <c r="E43" i="1" s="1"/>
  <c r="B110" i="1"/>
  <c r="C110" i="1"/>
  <c r="E44" i="1" s="1"/>
  <c r="B111" i="1"/>
  <c r="B112" i="1"/>
  <c r="B113" i="1"/>
  <c r="B114" i="1"/>
  <c r="B115" i="1"/>
  <c r="B116" i="1"/>
  <c r="B117" i="1"/>
  <c r="B118" i="1"/>
  <c r="C118" i="1"/>
  <c r="E52" i="1" s="1"/>
  <c r="B119" i="1"/>
  <c r="B101" i="1"/>
  <c r="D35" i="1" s="1"/>
  <c r="E8" i="14" l="1"/>
  <c r="F7" i="14"/>
  <c r="B8" i="14"/>
  <c r="D7" i="14"/>
  <c r="K132" i="4"/>
  <c r="K148" i="4" s="1"/>
  <c r="L130" i="4"/>
  <c r="M130" i="4" s="1"/>
  <c r="L127" i="4"/>
  <c r="M127" i="4" s="1"/>
  <c r="K117" i="4"/>
  <c r="K128" i="4" s="1"/>
  <c r="L128" i="4" s="1"/>
  <c r="K121" i="4"/>
  <c r="L119" i="4"/>
  <c r="L116" i="4"/>
  <c r="L121" i="4" s="1"/>
  <c r="E9" i="14" l="1"/>
  <c r="F8" i="14"/>
  <c r="B9" i="14"/>
  <c r="D8" i="14"/>
  <c r="M128" i="4"/>
  <c r="N128" i="4" s="1"/>
  <c r="N130" i="4"/>
  <c r="N127" i="4"/>
  <c r="M132" i="4"/>
  <c r="M148" i="4" s="1"/>
  <c r="L132" i="4"/>
  <c r="L148" i="4" s="1"/>
  <c r="L117" i="4"/>
  <c r="M117" i="4" s="1"/>
  <c r="M119" i="4"/>
  <c r="M116" i="4"/>
  <c r="E10" i="14" l="1"/>
  <c r="F9" i="14"/>
  <c r="B10" i="14"/>
  <c r="D9" i="14"/>
  <c r="N117" i="4"/>
  <c r="O128" i="4"/>
  <c r="N132" i="4"/>
  <c r="N148" i="4" s="1"/>
  <c r="O127" i="4"/>
  <c r="O130" i="4"/>
  <c r="M121" i="4"/>
  <c r="N116" i="4"/>
  <c r="N119" i="4"/>
  <c r="E11" i="14" l="1"/>
  <c r="F10" i="14"/>
  <c r="B11" i="14"/>
  <c r="D10" i="14"/>
  <c r="O117" i="4"/>
  <c r="P128" i="4"/>
  <c r="P130" i="4"/>
  <c r="P127" i="4"/>
  <c r="O132" i="4"/>
  <c r="O148" i="4" s="1"/>
  <c r="O119" i="4"/>
  <c r="N121" i="4"/>
  <c r="O116" i="4"/>
  <c r="I5" i="1"/>
  <c r="C102" i="1"/>
  <c r="E36" i="1" s="1"/>
  <c r="E12" i="14" l="1"/>
  <c r="F11" i="14"/>
  <c r="B12" i="14"/>
  <c r="D11" i="14"/>
  <c r="Q127" i="4"/>
  <c r="P132" i="4"/>
  <c r="P148" i="4" s="1"/>
  <c r="Q130" i="4"/>
  <c r="Q128" i="4"/>
  <c r="R128" i="4" s="1"/>
  <c r="O121" i="4"/>
  <c r="P116" i="4"/>
  <c r="P119" i="4"/>
  <c r="P117" i="4"/>
  <c r="Q117" i="4" s="1"/>
  <c r="E13" i="14" l="1"/>
  <c r="F12" i="14"/>
  <c r="B13" i="14"/>
  <c r="D12" i="14"/>
  <c r="R130" i="4"/>
  <c r="Q132" i="4"/>
  <c r="Q148" i="4" s="1"/>
  <c r="R127" i="4"/>
  <c r="Q119" i="4"/>
  <c r="Q116" i="4"/>
  <c r="P121" i="4"/>
  <c r="L67" i="4"/>
  <c r="E14" i="14" l="1"/>
  <c r="F13" i="14"/>
  <c r="B14" i="14"/>
  <c r="D13" i="14"/>
  <c r="S130" i="4"/>
  <c r="S127" i="4"/>
  <c r="R132" i="4"/>
  <c r="R148" i="4" s="1"/>
  <c r="S128" i="4"/>
  <c r="T128" i="4" s="1"/>
  <c r="R119" i="4"/>
  <c r="R117" i="4"/>
  <c r="R116" i="4"/>
  <c r="Q121" i="4"/>
  <c r="E15" i="14" l="1"/>
  <c r="F14" i="14"/>
  <c r="B15" i="14"/>
  <c r="D14" i="14"/>
  <c r="S117" i="4"/>
  <c r="T127" i="4"/>
  <c r="S132" i="4"/>
  <c r="S148" i="4" s="1"/>
  <c r="T130" i="4"/>
  <c r="R121" i="4"/>
  <c r="S116" i="4"/>
  <c r="S119" i="4"/>
  <c r="C5" i="7"/>
  <c r="H3" i="7"/>
  <c r="J8" i="7" s="1"/>
  <c r="C24" i="7"/>
  <c r="C23" i="7"/>
  <c r="C22" i="7"/>
  <c r="C21" i="7"/>
  <c r="C20" i="7"/>
  <c r="H19" i="7" s="1"/>
  <c r="I19" i="7" s="1"/>
  <c r="J19" i="7" s="1"/>
  <c r="K19" i="7" s="1"/>
  <c r="L19" i="7" s="1"/>
  <c r="M19" i="7" s="1"/>
  <c r="N19" i="7" s="1"/>
  <c r="O19" i="7" s="1"/>
  <c r="P19" i="7" s="1"/>
  <c r="Q19" i="7" s="1"/>
  <c r="R19" i="7" s="1"/>
  <c r="S19" i="7" s="1"/>
  <c r="T19" i="7" s="1"/>
  <c r="U19" i="7" s="1"/>
  <c r="V19" i="7" s="1"/>
  <c r="W19" i="7" s="1"/>
  <c r="X19" i="7" s="1"/>
  <c r="Y19" i="7" s="1"/>
  <c r="Z19" i="7" s="1"/>
  <c r="AA19" i="7" s="1"/>
  <c r="AB19" i="7" s="1"/>
  <c r="AC19" i="7" s="1"/>
  <c r="AD19" i="7" s="1"/>
  <c r="AE19" i="7" s="1"/>
  <c r="AF19" i="7" s="1"/>
  <c r="C19" i="7"/>
  <c r="C18" i="7"/>
  <c r="H35" i="7" s="1"/>
  <c r="I35" i="7" s="1"/>
  <c r="J35" i="7" s="1"/>
  <c r="C17" i="7"/>
  <c r="G48" i="7" s="1"/>
  <c r="C16" i="7"/>
  <c r="H33" i="7" s="1"/>
  <c r="C15" i="7"/>
  <c r="H32" i="7" s="1"/>
  <c r="J9" i="7"/>
  <c r="I77" i="7" l="1"/>
  <c r="J77" i="7" s="1"/>
  <c r="K77" i="7" s="1"/>
  <c r="L77" i="7" s="1"/>
  <c r="M77" i="7" s="1"/>
  <c r="N77" i="7" s="1"/>
  <c r="O77" i="7" s="1"/>
  <c r="P77" i="7" s="1"/>
  <c r="Q77" i="7" s="1"/>
  <c r="R77" i="7" s="1"/>
  <c r="S77" i="7" s="1"/>
  <c r="T77" i="7" s="1"/>
  <c r="U77" i="7" s="1"/>
  <c r="V77" i="7" s="1"/>
  <c r="H36" i="7"/>
  <c r="E16" i="14"/>
  <c r="F15" i="14"/>
  <c r="B16" i="14"/>
  <c r="D15" i="14"/>
  <c r="T132" i="4"/>
  <c r="T148" i="4" s="1"/>
  <c r="U127" i="4"/>
  <c r="U130" i="4"/>
  <c r="U128" i="4"/>
  <c r="V128" i="4" s="1"/>
  <c r="T119" i="4"/>
  <c r="T117" i="4"/>
  <c r="T116" i="4"/>
  <c r="S121" i="4"/>
  <c r="H73" i="7"/>
  <c r="H58" i="7"/>
  <c r="I58" i="7" s="1"/>
  <c r="J58" i="7" s="1"/>
  <c r="K58" i="7" s="1"/>
  <c r="G66" i="7"/>
  <c r="G25" i="7"/>
  <c r="G84" i="7"/>
  <c r="H37" i="7"/>
  <c r="I37" i="7" s="1"/>
  <c r="J37" i="7" s="1"/>
  <c r="K37" i="7" s="1"/>
  <c r="L37" i="7" s="1"/>
  <c r="M37" i="7" s="1"/>
  <c r="N37" i="7" s="1"/>
  <c r="O37" i="7" s="1"/>
  <c r="P37" i="7" s="1"/>
  <c r="Q37" i="7" s="1"/>
  <c r="R37" i="7" s="1"/>
  <c r="S37" i="7" s="1"/>
  <c r="T37" i="7" s="1"/>
  <c r="U37" i="7" s="1"/>
  <c r="V37" i="7" s="1"/>
  <c r="H60" i="7"/>
  <c r="I60" i="7" s="1"/>
  <c r="J60" i="7" s="1"/>
  <c r="K60" i="7" s="1"/>
  <c r="L60" i="7" s="1"/>
  <c r="M60" i="7" s="1"/>
  <c r="N60" i="7" s="1"/>
  <c r="O60" i="7" s="1"/>
  <c r="P60" i="7" s="1"/>
  <c r="Q60" i="7" s="1"/>
  <c r="R60" i="7" s="1"/>
  <c r="S60" i="7" s="1"/>
  <c r="T60" i="7" s="1"/>
  <c r="U60" i="7" s="1"/>
  <c r="V60" i="7" s="1"/>
  <c r="H78" i="7"/>
  <c r="I78" i="7" s="1"/>
  <c r="J78" i="7" s="1"/>
  <c r="K78" i="7" s="1"/>
  <c r="L78" i="7" s="1"/>
  <c r="M78" i="7" s="1"/>
  <c r="N78" i="7" s="1"/>
  <c r="O78" i="7" s="1"/>
  <c r="P78" i="7" s="1"/>
  <c r="Q78" i="7" s="1"/>
  <c r="R78" i="7" s="1"/>
  <c r="S78" i="7" s="1"/>
  <c r="T78" i="7" s="1"/>
  <c r="U78" i="7" s="1"/>
  <c r="V78" i="7" s="1"/>
  <c r="I36" i="7"/>
  <c r="J36" i="7" s="1"/>
  <c r="K36" i="7" s="1"/>
  <c r="L36" i="7" s="1"/>
  <c r="M36" i="7" s="1"/>
  <c r="N36" i="7" s="1"/>
  <c r="O36" i="7" s="1"/>
  <c r="P36" i="7" s="1"/>
  <c r="Q36" i="7" s="1"/>
  <c r="R36" i="7" s="1"/>
  <c r="S36" i="7" s="1"/>
  <c r="T36" i="7" s="1"/>
  <c r="U36" i="7" s="1"/>
  <c r="V36" i="7" s="1"/>
  <c r="H18" i="7"/>
  <c r="I18" i="7" s="1"/>
  <c r="J18" i="7" s="1"/>
  <c r="K18" i="7" s="1"/>
  <c r="L18" i="7" s="1"/>
  <c r="M18" i="7" s="1"/>
  <c r="N18" i="7" s="1"/>
  <c r="O18" i="7" s="1"/>
  <c r="P18" i="7" s="1"/>
  <c r="Q18" i="7" s="1"/>
  <c r="R18" i="7" s="1"/>
  <c r="S18" i="7" s="1"/>
  <c r="T18" i="7" s="1"/>
  <c r="U18" i="7" s="1"/>
  <c r="V18" i="7" s="1"/>
  <c r="W18" i="7" s="1"/>
  <c r="X18" i="7" s="1"/>
  <c r="Y18" i="7" s="1"/>
  <c r="Z18" i="7" s="1"/>
  <c r="AA18" i="7" s="1"/>
  <c r="AB18" i="7" s="1"/>
  <c r="AC18" i="7" s="1"/>
  <c r="AD18" i="7" s="1"/>
  <c r="AE18" i="7" s="1"/>
  <c r="AF18" i="7" s="1"/>
  <c r="H59" i="7"/>
  <c r="I59" i="7" s="1"/>
  <c r="J59" i="7" s="1"/>
  <c r="K59" i="7" s="1"/>
  <c r="L59" i="7" s="1"/>
  <c r="M59" i="7" s="1"/>
  <c r="N59" i="7" s="1"/>
  <c r="O59" i="7" s="1"/>
  <c r="P59" i="7" s="1"/>
  <c r="Q59" i="7" s="1"/>
  <c r="R59" i="7" s="1"/>
  <c r="S59" i="7" s="1"/>
  <c r="T59" i="7" s="1"/>
  <c r="U59" i="7" s="1"/>
  <c r="V59" i="7" s="1"/>
  <c r="I76" i="7"/>
  <c r="J76" i="7" s="1"/>
  <c r="K76" i="7" s="1"/>
  <c r="H17" i="7"/>
  <c r="I17" i="7" s="1"/>
  <c r="J17" i="7" s="1"/>
  <c r="K17" i="7" s="1"/>
  <c r="L17" i="7" s="1"/>
  <c r="M17" i="7" s="1"/>
  <c r="N17" i="7" s="1"/>
  <c r="O17" i="7" s="1"/>
  <c r="P17" i="7" s="1"/>
  <c r="H55" i="7"/>
  <c r="H14" i="7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V14" i="7" s="1"/>
  <c r="W14" i="7" s="1"/>
  <c r="X14" i="7" s="1"/>
  <c r="Y14" i="7" s="1"/>
  <c r="Z14" i="7" s="1"/>
  <c r="AA14" i="7" s="1"/>
  <c r="AB14" i="7" s="1"/>
  <c r="AC14" i="7" s="1"/>
  <c r="AD14" i="7" s="1"/>
  <c r="AE14" i="7" s="1"/>
  <c r="AF14" i="7" s="1"/>
  <c r="H38" i="7"/>
  <c r="H15" i="7"/>
  <c r="H56" i="7"/>
  <c r="H74" i="7"/>
  <c r="K35" i="7"/>
  <c r="E17" i="14" l="1"/>
  <c r="F16" i="14"/>
  <c r="B17" i="14"/>
  <c r="D16" i="14"/>
  <c r="H34" i="7"/>
  <c r="I33" i="7" s="1"/>
  <c r="U117" i="4"/>
  <c r="V117" i="4" s="1"/>
  <c r="V130" i="4"/>
  <c r="U132" i="4"/>
  <c r="U148" i="4" s="1"/>
  <c r="V127" i="4"/>
  <c r="U116" i="4"/>
  <c r="T121" i="4"/>
  <c r="U119" i="4"/>
  <c r="H79" i="7"/>
  <c r="I55" i="7"/>
  <c r="J55" i="7" s="1"/>
  <c r="K55" i="7" s="1"/>
  <c r="L55" i="7" s="1"/>
  <c r="M55" i="7" s="1"/>
  <c r="N55" i="7" s="1"/>
  <c r="O55" i="7" s="1"/>
  <c r="P55" i="7" s="1"/>
  <c r="Q55" i="7" s="1"/>
  <c r="R55" i="7" s="1"/>
  <c r="S55" i="7" s="1"/>
  <c r="T55" i="7" s="1"/>
  <c r="U55" i="7" s="1"/>
  <c r="V55" i="7" s="1"/>
  <c r="H61" i="7"/>
  <c r="H20" i="7"/>
  <c r="I20" i="7" s="1"/>
  <c r="J20" i="7" s="1"/>
  <c r="K20" i="7" s="1"/>
  <c r="L20" i="7" s="1"/>
  <c r="M20" i="7" s="1"/>
  <c r="N20" i="7" s="1"/>
  <c r="O20" i="7" s="1"/>
  <c r="P20" i="7" s="1"/>
  <c r="Q20" i="7" s="1"/>
  <c r="R20" i="7" s="1"/>
  <c r="S20" i="7" s="1"/>
  <c r="T20" i="7" s="1"/>
  <c r="U20" i="7" s="1"/>
  <c r="V20" i="7" s="1"/>
  <c r="W20" i="7" s="1"/>
  <c r="X20" i="7" s="1"/>
  <c r="Y20" i="7" s="1"/>
  <c r="Z20" i="7" s="1"/>
  <c r="AA20" i="7" s="1"/>
  <c r="AB20" i="7" s="1"/>
  <c r="AC20" i="7" s="1"/>
  <c r="AD20" i="7" s="1"/>
  <c r="AE20" i="7" s="1"/>
  <c r="AF20" i="7" s="1"/>
  <c r="I32" i="7"/>
  <c r="J32" i="7" s="1"/>
  <c r="K32" i="7" s="1"/>
  <c r="L32" i="7" s="1"/>
  <c r="M32" i="7" s="1"/>
  <c r="N32" i="7" s="1"/>
  <c r="O32" i="7" s="1"/>
  <c r="P32" i="7" s="1"/>
  <c r="Q32" i="7" s="1"/>
  <c r="R32" i="7" s="1"/>
  <c r="S32" i="7" s="1"/>
  <c r="T32" i="7" s="1"/>
  <c r="U32" i="7" s="1"/>
  <c r="V32" i="7" s="1"/>
  <c r="I73" i="7"/>
  <c r="J73" i="7" s="1"/>
  <c r="K73" i="7" s="1"/>
  <c r="L73" i="7" s="1"/>
  <c r="M73" i="7" s="1"/>
  <c r="N73" i="7" s="1"/>
  <c r="O73" i="7" s="1"/>
  <c r="P73" i="7" s="1"/>
  <c r="Q73" i="7" s="1"/>
  <c r="R73" i="7" s="1"/>
  <c r="S73" i="7" s="1"/>
  <c r="T73" i="7" s="1"/>
  <c r="U73" i="7" s="1"/>
  <c r="V73" i="7" s="1"/>
  <c r="H75" i="7"/>
  <c r="H57" i="7"/>
  <c r="H16" i="7"/>
  <c r="L76" i="7"/>
  <c r="L58" i="7"/>
  <c r="L35" i="7"/>
  <c r="Q17" i="7"/>
  <c r="E18" i="14" l="1"/>
  <c r="F17" i="14"/>
  <c r="B18" i="14"/>
  <c r="D17" i="14"/>
  <c r="H40" i="7"/>
  <c r="I61" i="7"/>
  <c r="J61" i="7" s="1"/>
  <c r="K61" i="7" s="1"/>
  <c r="L61" i="7" s="1"/>
  <c r="M61" i="7" s="1"/>
  <c r="N61" i="7" s="1"/>
  <c r="O61" i="7" s="1"/>
  <c r="P61" i="7" s="1"/>
  <c r="Q61" i="7" s="1"/>
  <c r="R61" i="7" s="1"/>
  <c r="S61" i="7" s="1"/>
  <c r="T61" i="7" s="1"/>
  <c r="U61" i="7" s="1"/>
  <c r="V61" i="7" s="1"/>
  <c r="V132" i="4"/>
  <c r="V148" i="4" s="1"/>
  <c r="W127" i="4"/>
  <c r="W130" i="4"/>
  <c r="W128" i="4"/>
  <c r="X128" i="4" s="1"/>
  <c r="V119" i="4"/>
  <c r="W117" i="4" s="1"/>
  <c r="U121" i="4"/>
  <c r="V116" i="4"/>
  <c r="I38" i="7"/>
  <c r="J38" i="7" s="1"/>
  <c r="K38" i="7" s="1"/>
  <c r="L38" i="7" s="1"/>
  <c r="M38" i="7" s="1"/>
  <c r="N38" i="7" s="1"/>
  <c r="O38" i="7" s="1"/>
  <c r="P38" i="7" s="1"/>
  <c r="Q38" i="7" s="1"/>
  <c r="R38" i="7" s="1"/>
  <c r="S38" i="7" s="1"/>
  <c r="T38" i="7" s="1"/>
  <c r="U38" i="7" s="1"/>
  <c r="V38" i="7" s="1"/>
  <c r="I34" i="7"/>
  <c r="J33" i="7" s="1"/>
  <c r="J34" i="7" s="1"/>
  <c r="H22" i="7"/>
  <c r="I79" i="7"/>
  <c r="J79" i="7" s="1"/>
  <c r="K79" i="7" s="1"/>
  <c r="L79" i="7" s="1"/>
  <c r="M79" i="7" s="1"/>
  <c r="N79" i="7" s="1"/>
  <c r="O79" i="7" s="1"/>
  <c r="P79" i="7" s="1"/>
  <c r="Q79" i="7" s="1"/>
  <c r="R79" i="7" s="1"/>
  <c r="S79" i="7" s="1"/>
  <c r="T79" i="7" s="1"/>
  <c r="U79" i="7" s="1"/>
  <c r="V79" i="7" s="1"/>
  <c r="H63" i="7"/>
  <c r="I56" i="7"/>
  <c r="I57" i="7" s="1"/>
  <c r="I15" i="7"/>
  <c r="I16" i="7" s="1"/>
  <c r="I22" i="7" s="1"/>
  <c r="I74" i="7"/>
  <c r="I75" i="7" s="1"/>
  <c r="H81" i="7"/>
  <c r="M76" i="7"/>
  <c r="M58" i="7"/>
  <c r="M35" i="7"/>
  <c r="R17" i="7"/>
  <c r="E19" i="14" l="1"/>
  <c r="F18" i="14"/>
  <c r="B19" i="14"/>
  <c r="D18" i="14"/>
  <c r="I40" i="7"/>
  <c r="J40" i="7"/>
  <c r="X127" i="4"/>
  <c r="W132" i="4"/>
  <c r="W148" i="4" s="1"/>
  <c r="X130" i="4"/>
  <c r="Y128" i="4" s="1"/>
  <c r="V121" i="4"/>
  <c r="W116" i="4"/>
  <c r="W119" i="4"/>
  <c r="K33" i="7"/>
  <c r="K34" i="7" s="1"/>
  <c r="K40" i="7" s="1"/>
  <c r="J15" i="7"/>
  <c r="J16" i="7" s="1"/>
  <c r="K15" i="7" s="1"/>
  <c r="K16" i="7" s="1"/>
  <c r="K22" i="7" s="1"/>
  <c r="I81" i="7"/>
  <c r="J74" i="7"/>
  <c r="J75" i="7" s="1"/>
  <c r="I63" i="7"/>
  <c r="J56" i="7"/>
  <c r="J57" i="7" s="1"/>
  <c r="N76" i="7"/>
  <c r="N58" i="7"/>
  <c r="N35" i="7"/>
  <c r="S17" i="7"/>
  <c r="E20" i="14" l="1"/>
  <c r="F19" i="14"/>
  <c r="B20" i="14"/>
  <c r="D19" i="14"/>
  <c r="L33" i="7"/>
  <c r="L34" i="7" s="1"/>
  <c r="M33" i="7" s="1"/>
  <c r="M34" i="7" s="1"/>
  <c r="Y130" i="4"/>
  <c r="Y127" i="4"/>
  <c r="X132" i="4"/>
  <c r="X148" i="4" s="1"/>
  <c r="X119" i="4"/>
  <c r="X117" i="4"/>
  <c r="Y117" i="4" s="1"/>
  <c r="X116" i="4"/>
  <c r="W121" i="4"/>
  <c r="L15" i="7"/>
  <c r="L16" i="7" s="1"/>
  <c r="L22" i="7" s="1"/>
  <c r="J22" i="7"/>
  <c r="J63" i="7"/>
  <c r="K56" i="7"/>
  <c r="K57" i="7" s="1"/>
  <c r="K74" i="7"/>
  <c r="K75" i="7" s="1"/>
  <c r="J81" i="7"/>
  <c r="O76" i="7"/>
  <c r="O58" i="7"/>
  <c r="O35" i="7"/>
  <c r="T17" i="7"/>
  <c r="E21" i="14" l="1"/>
  <c r="F20" i="14"/>
  <c r="B21" i="14"/>
  <c r="D20" i="14"/>
  <c r="L40" i="7"/>
  <c r="Z127" i="4"/>
  <c r="Y132" i="4"/>
  <c r="Y148" i="4" s="1"/>
  <c r="Z130" i="4"/>
  <c r="Z128" i="4"/>
  <c r="Y116" i="4"/>
  <c r="X121" i="4"/>
  <c r="Y119" i="4"/>
  <c r="M15" i="7"/>
  <c r="M16" i="7" s="1"/>
  <c r="M22" i="7" s="1"/>
  <c r="K81" i="7"/>
  <c r="L74" i="7"/>
  <c r="L75" i="7" s="1"/>
  <c r="K63" i="7"/>
  <c r="L56" i="7"/>
  <c r="L57" i="7" s="1"/>
  <c r="P76" i="7"/>
  <c r="P58" i="7"/>
  <c r="N33" i="7"/>
  <c r="N34" i="7" s="1"/>
  <c r="M40" i="7"/>
  <c r="P35" i="7"/>
  <c r="U17" i="7"/>
  <c r="AA128" i="4" l="1"/>
  <c r="AB128" i="4" s="1"/>
  <c r="E22" i="14"/>
  <c r="F21" i="14"/>
  <c r="B22" i="14"/>
  <c r="D21" i="14"/>
  <c r="AA130" i="4"/>
  <c r="AA127" i="4"/>
  <c r="Z132" i="4"/>
  <c r="Z148" i="4" s="1"/>
  <c r="Z119" i="4"/>
  <c r="Z117" i="4"/>
  <c r="Z116" i="4"/>
  <c r="Y121" i="4"/>
  <c r="N15" i="7"/>
  <c r="N16" i="7" s="1"/>
  <c r="O15" i="7" s="1"/>
  <c r="O16" i="7" s="1"/>
  <c r="M56" i="7"/>
  <c r="M57" i="7" s="1"/>
  <c r="L63" i="7"/>
  <c r="L81" i="7"/>
  <c r="M74" i="7"/>
  <c r="M75" i="7" s="1"/>
  <c r="Q76" i="7"/>
  <c r="Q58" i="7"/>
  <c r="Q35" i="7"/>
  <c r="O33" i="7"/>
  <c r="O34" i="7" s="1"/>
  <c r="N40" i="7"/>
  <c r="V17" i="7"/>
  <c r="W17" i="7" s="1"/>
  <c r="X17" i="7" s="1"/>
  <c r="Y17" i="7" s="1"/>
  <c r="Z17" i="7" s="1"/>
  <c r="AA17" i="7" s="1"/>
  <c r="AB17" i="7" s="1"/>
  <c r="AC17" i="7" s="1"/>
  <c r="AD17" i="7" s="1"/>
  <c r="AE17" i="7" s="1"/>
  <c r="AF17" i="7" s="1"/>
  <c r="E23" i="14" l="1"/>
  <c r="F22" i="14"/>
  <c r="B23" i="14"/>
  <c r="D22" i="14"/>
  <c r="N22" i="7"/>
  <c r="AB127" i="4"/>
  <c r="AA132" i="4"/>
  <c r="AA148" i="4" s="1"/>
  <c r="AB130" i="4"/>
  <c r="AC128" i="4" s="1"/>
  <c r="AA119" i="4"/>
  <c r="AA116" i="4"/>
  <c r="Z121" i="4"/>
  <c r="AA117" i="4"/>
  <c r="M81" i="7"/>
  <c r="N74" i="7"/>
  <c r="N75" i="7" s="1"/>
  <c r="M63" i="7"/>
  <c r="N56" i="7"/>
  <c r="N57" i="7" s="1"/>
  <c r="P15" i="7"/>
  <c r="P16" i="7" s="1"/>
  <c r="O22" i="7"/>
  <c r="R76" i="7"/>
  <c r="R58" i="7"/>
  <c r="P33" i="7"/>
  <c r="P34" i="7" s="1"/>
  <c r="O40" i="7"/>
  <c r="R35" i="7"/>
  <c r="E24" i="14" l="1"/>
  <c r="F23" i="14"/>
  <c r="B24" i="14"/>
  <c r="D23" i="14"/>
  <c r="AB117" i="4"/>
  <c r="AC117" i="4" s="1"/>
  <c r="AC130" i="4"/>
  <c r="AB132" i="4"/>
  <c r="AB148" i="4" s="1"/>
  <c r="AC127" i="4"/>
  <c r="AB119" i="4"/>
  <c r="AB116" i="4"/>
  <c r="AA121" i="4"/>
  <c r="O56" i="7"/>
  <c r="O57" i="7" s="1"/>
  <c r="N63" i="7"/>
  <c r="O74" i="7"/>
  <c r="O75" i="7" s="1"/>
  <c r="N81" i="7"/>
  <c r="Q15" i="7"/>
  <c r="Q16" i="7" s="1"/>
  <c r="G27" i="7" s="1"/>
  <c r="P22" i="7"/>
  <c r="S76" i="7"/>
  <c r="S58" i="7"/>
  <c r="S35" i="7"/>
  <c r="P40" i="7"/>
  <c r="Q33" i="7"/>
  <c r="Q34" i="7" s="1"/>
  <c r="E25" i="14" l="1"/>
  <c r="F24" i="14"/>
  <c r="B25" i="14"/>
  <c r="D24" i="14"/>
  <c r="AD127" i="4"/>
  <c r="AD132" i="4" s="1"/>
  <c r="AD148" i="4" s="1"/>
  <c r="AC132" i="4"/>
  <c r="AC148" i="4" s="1"/>
  <c r="AD130" i="4"/>
  <c r="AD128" i="4"/>
  <c r="AB121" i="4"/>
  <c r="AC116" i="4"/>
  <c r="AC119" i="4"/>
  <c r="O81" i="7"/>
  <c r="P74" i="7"/>
  <c r="P75" i="7" s="1"/>
  <c r="O63" i="7"/>
  <c r="P56" i="7"/>
  <c r="P57" i="7" s="1"/>
  <c r="Q22" i="7"/>
  <c r="G28" i="7" s="1"/>
  <c r="H28" i="7" s="1"/>
  <c r="B32" i="7" s="1"/>
  <c r="B40" i="7" s="1"/>
  <c r="B65" i="7" s="1"/>
  <c r="R15" i="7"/>
  <c r="R16" i="7" s="1"/>
  <c r="T76" i="7"/>
  <c r="T58" i="7"/>
  <c r="R33" i="7"/>
  <c r="R34" i="7" s="1"/>
  <c r="Q40" i="7"/>
  <c r="T35" i="7"/>
  <c r="H27" i="7" l="1"/>
  <c r="B34" i="7" s="1"/>
  <c r="B38" i="7" s="1"/>
  <c r="B63" i="7" s="1"/>
  <c r="E26" i="14"/>
  <c r="F25" i="14"/>
  <c r="B26" i="14"/>
  <c r="D25" i="14"/>
  <c r="AD119" i="4"/>
  <c r="AD116" i="4"/>
  <c r="AD121" i="4" s="1"/>
  <c r="AC121" i="4"/>
  <c r="AD117" i="4"/>
  <c r="P63" i="7"/>
  <c r="Q56" i="7"/>
  <c r="Q57" i="7" s="1"/>
  <c r="P81" i="7"/>
  <c r="Q74" i="7"/>
  <c r="Q75" i="7" s="1"/>
  <c r="R22" i="7"/>
  <c r="S15" i="7"/>
  <c r="S16" i="7" s="1"/>
  <c r="U76" i="7"/>
  <c r="U58" i="7"/>
  <c r="U35" i="7"/>
  <c r="R40" i="7"/>
  <c r="S33" i="7"/>
  <c r="S34" i="7" s="1"/>
  <c r="E27" i="14" l="1"/>
  <c r="F26" i="14"/>
  <c r="B27" i="14"/>
  <c r="D26" i="14"/>
  <c r="Q63" i="7"/>
  <c r="R56" i="7"/>
  <c r="R57" i="7" s="1"/>
  <c r="R74" i="7"/>
  <c r="R75" i="7" s="1"/>
  <c r="Q81" i="7"/>
  <c r="T15" i="7"/>
  <c r="T16" i="7" s="1"/>
  <c r="S22" i="7"/>
  <c r="V76" i="7"/>
  <c r="V58" i="7"/>
  <c r="T33" i="7"/>
  <c r="T34" i="7" s="1"/>
  <c r="S40" i="7"/>
  <c r="V35" i="7"/>
  <c r="E28" i="14" l="1"/>
  <c r="F27" i="14"/>
  <c r="B28" i="14"/>
  <c r="D27" i="14"/>
  <c r="R63" i="7"/>
  <c r="S56" i="7"/>
  <c r="S57" i="7" s="1"/>
  <c r="R81" i="7"/>
  <c r="S74" i="7"/>
  <c r="S75" i="7" s="1"/>
  <c r="U15" i="7"/>
  <c r="U16" i="7" s="1"/>
  <c r="T22" i="7"/>
  <c r="U33" i="7"/>
  <c r="U34" i="7" s="1"/>
  <c r="T40" i="7"/>
  <c r="E29" i="14" l="1"/>
  <c r="F28" i="14"/>
  <c r="B29" i="14"/>
  <c r="D28" i="14"/>
  <c r="T56" i="7"/>
  <c r="T57" i="7" s="1"/>
  <c r="S63" i="7"/>
  <c r="T74" i="7"/>
  <c r="T75" i="7" s="1"/>
  <c r="S81" i="7"/>
  <c r="V15" i="7"/>
  <c r="V16" i="7" s="1"/>
  <c r="W15" i="7" s="1"/>
  <c r="W16" i="7" s="1"/>
  <c r="U22" i="7"/>
  <c r="V33" i="7"/>
  <c r="V34" i="7" s="1"/>
  <c r="U40" i="7"/>
  <c r="X15" i="7" l="1"/>
  <c r="X16" i="7" s="1"/>
  <c r="W22" i="7"/>
  <c r="V40" i="7"/>
  <c r="G51" i="7" s="1"/>
  <c r="G50" i="7"/>
  <c r="V22" i="7"/>
  <c r="E30" i="14"/>
  <c r="F29" i="14"/>
  <c r="B30" i="14"/>
  <c r="D29" i="14"/>
  <c r="U74" i="7"/>
  <c r="U75" i="7" s="1"/>
  <c r="T81" i="7"/>
  <c r="U56" i="7"/>
  <c r="U57" i="7" s="1"/>
  <c r="T63" i="7"/>
  <c r="I116" i="3"/>
  <c r="N48" i="1"/>
  <c r="O48" i="1" s="1"/>
  <c r="P48" i="1" s="1"/>
  <c r="Q48" i="1" s="1"/>
  <c r="R48" i="1" s="1"/>
  <c r="N41" i="1"/>
  <c r="O41" i="1" s="1"/>
  <c r="P41" i="1" s="1"/>
  <c r="Q41" i="1" s="1"/>
  <c r="R41" i="1" s="1"/>
  <c r="I195" i="3"/>
  <c r="I177" i="3"/>
  <c r="I158" i="3"/>
  <c r="H93" i="3"/>
  <c r="H92" i="3"/>
  <c r="I104" i="3"/>
  <c r="H91" i="3"/>
  <c r="I100" i="3"/>
  <c r="H90" i="3"/>
  <c r="H89" i="3"/>
  <c r="Y15" i="7" l="1"/>
  <c r="Y16" i="7" s="1"/>
  <c r="X22" i="7"/>
  <c r="K8" i="7"/>
  <c r="H50" i="7"/>
  <c r="N8" i="7"/>
  <c r="M8" i="7" s="1"/>
  <c r="H51" i="7"/>
  <c r="E31" i="14"/>
  <c r="F30" i="14"/>
  <c r="B31" i="14"/>
  <c r="D30" i="14"/>
  <c r="U63" i="7"/>
  <c r="V56" i="7"/>
  <c r="V57" i="7" s="1"/>
  <c r="V74" i="7"/>
  <c r="V75" i="7" s="1"/>
  <c r="U81" i="7"/>
  <c r="I99" i="3"/>
  <c r="K84" i="4"/>
  <c r="L79" i="4"/>
  <c r="L84" i="4" s="1"/>
  <c r="I66" i="4"/>
  <c r="I64" i="4"/>
  <c r="L64" i="4" s="1"/>
  <c r="I65" i="4"/>
  <c r="O74" i="4"/>
  <c r="K74" i="4"/>
  <c r="M67" i="4"/>
  <c r="N67" i="4" s="1"/>
  <c r="O67" i="4" s="1"/>
  <c r="P67" i="4" s="1"/>
  <c r="Q67" i="4" s="1"/>
  <c r="R67" i="4" s="1"/>
  <c r="S67" i="4" s="1"/>
  <c r="T67" i="4" s="1"/>
  <c r="U67" i="4" s="1"/>
  <c r="V67" i="4" s="1"/>
  <c r="W67" i="4" s="1"/>
  <c r="X67" i="4" s="1"/>
  <c r="Y67" i="4" s="1"/>
  <c r="Z67" i="4" s="1"/>
  <c r="AA67" i="4" s="1"/>
  <c r="AB67" i="4" s="1"/>
  <c r="AC67" i="4" s="1"/>
  <c r="AD67" i="4" s="1"/>
  <c r="AE67" i="4" s="1"/>
  <c r="AF67" i="4" s="1"/>
  <c r="AG67" i="4" s="1"/>
  <c r="AH67" i="4" s="1"/>
  <c r="AI67" i="4" s="1"/>
  <c r="AJ67" i="4" s="1"/>
  <c r="AK67" i="4" s="1"/>
  <c r="AL67" i="4" s="1"/>
  <c r="AM67" i="4" s="1"/>
  <c r="AN67" i="4" s="1"/>
  <c r="AO67" i="4" s="1"/>
  <c r="AP67" i="4" s="1"/>
  <c r="AQ67" i="4" s="1"/>
  <c r="AR67" i="4" s="1"/>
  <c r="AS67" i="4" s="1"/>
  <c r="AT67" i="4" s="1"/>
  <c r="AU67" i="4" s="1"/>
  <c r="AV67" i="4" s="1"/>
  <c r="AW67" i="4" s="1"/>
  <c r="AX67" i="4" s="1"/>
  <c r="AY67" i="4" s="1"/>
  <c r="AZ67" i="4" s="1"/>
  <c r="BA67" i="4" s="1"/>
  <c r="BB67" i="4" s="1"/>
  <c r="BC67" i="4" s="1"/>
  <c r="BD67" i="4" s="1"/>
  <c r="BE67" i="4" s="1"/>
  <c r="BF67" i="4" s="1"/>
  <c r="BG67" i="4" s="1"/>
  <c r="BH67" i="4" s="1"/>
  <c r="BI67" i="4" s="1"/>
  <c r="M66" i="4"/>
  <c r="N66" i="4" s="1"/>
  <c r="O66" i="4" s="1"/>
  <c r="P66" i="4" s="1"/>
  <c r="Q66" i="4" s="1"/>
  <c r="R66" i="4" s="1"/>
  <c r="S66" i="4" s="1"/>
  <c r="T66" i="4" s="1"/>
  <c r="U66" i="4" s="1"/>
  <c r="V66" i="4" s="1"/>
  <c r="W66" i="4" s="1"/>
  <c r="X66" i="4" s="1"/>
  <c r="Y66" i="4" s="1"/>
  <c r="Z66" i="4" s="1"/>
  <c r="AA66" i="4" s="1"/>
  <c r="AB66" i="4" s="1"/>
  <c r="AC66" i="4" s="1"/>
  <c r="AD66" i="4" s="1"/>
  <c r="AE66" i="4" s="1"/>
  <c r="AF66" i="4" s="1"/>
  <c r="AG66" i="4" s="1"/>
  <c r="AH66" i="4" s="1"/>
  <c r="AI66" i="4" s="1"/>
  <c r="AJ66" i="4" s="1"/>
  <c r="AK66" i="4" s="1"/>
  <c r="AL66" i="4" s="1"/>
  <c r="AM66" i="4" s="1"/>
  <c r="AN66" i="4" s="1"/>
  <c r="AO66" i="4" s="1"/>
  <c r="AP66" i="4" s="1"/>
  <c r="AQ66" i="4" s="1"/>
  <c r="AR66" i="4" s="1"/>
  <c r="AS66" i="4" s="1"/>
  <c r="AT66" i="4" s="1"/>
  <c r="AU66" i="4" s="1"/>
  <c r="AV66" i="4" s="1"/>
  <c r="AW66" i="4" s="1"/>
  <c r="AX66" i="4" s="1"/>
  <c r="AY66" i="4" s="1"/>
  <c r="AZ66" i="4" s="1"/>
  <c r="BA66" i="4" s="1"/>
  <c r="BB66" i="4" s="1"/>
  <c r="BC66" i="4" s="1"/>
  <c r="BD66" i="4" s="1"/>
  <c r="BE66" i="4" s="1"/>
  <c r="BF66" i="4" s="1"/>
  <c r="BG66" i="4" s="1"/>
  <c r="BH66" i="4" s="1"/>
  <c r="BI66" i="4" s="1"/>
  <c r="E10" i="6"/>
  <c r="E5" i="6"/>
  <c r="E4" i="6"/>
  <c r="I20" i="4"/>
  <c r="M9" i="7" l="1"/>
  <c r="C32" i="7"/>
  <c r="K9" i="7"/>
  <c r="C34" i="7"/>
  <c r="Z15" i="7"/>
  <c r="Z16" i="7" s="1"/>
  <c r="Y22" i="7"/>
  <c r="I51" i="7"/>
  <c r="I28" i="7"/>
  <c r="V81" i="7"/>
  <c r="G87" i="7" s="1"/>
  <c r="G86" i="7"/>
  <c r="V63" i="7"/>
  <c r="G69" i="7" s="1"/>
  <c r="I69" i="7" s="1"/>
  <c r="G68" i="7"/>
  <c r="E32" i="14"/>
  <c r="F31" i="14"/>
  <c r="B32" i="14"/>
  <c r="D31" i="14"/>
  <c r="M79" i="4"/>
  <c r="M64" i="4"/>
  <c r="N64" i="4" s="1"/>
  <c r="L71" i="4"/>
  <c r="L69" i="4"/>
  <c r="M65" i="4"/>
  <c r="N65" i="4" s="1"/>
  <c r="O65" i="4" s="1"/>
  <c r="P65" i="4" s="1"/>
  <c r="Q65" i="4" s="1"/>
  <c r="R65" i="4" s="1"/>
  <c r="S65" i="4" s="1"/>
  <c r="T65" i="4" s="1"/>
  <c r="U65" i="4" s="1"/>
  <c r="V65" i="4" s="1"/>
  <c r="W65" i="4" s="1"/>
  <c r="X65" i="4" s="1"/>
  <c r="Y65" i="4" s="1"/>
  <c r="Z65" i="4" s="1"/>
  <c r="AA65" i="4" s="1"/>
  <c r="AB65" i="4" s="1"/>
  <c r="AC65" i="4" s="1"/>
  <c r="AD65" i="4" s="1"/>
  <c r="AE65" i="4" s="1"/>
  <c r="AF65" i="4" s="1"/>
  <c r="AG65" i="4" s="1"/>
  <c r="AH65" i="4" s="1"/>
  <c r="AI65" i="4" s="1"/>
  <c r="AJ65" i="4" s="1"/>
  <c r="AK65" i="4" s="1"/>
  <c r="AL65" i="4" s="1"/>
  <c r="AM65" i="4" s="1"/>
  <c r="AN65" i="4" s="1"/>
  <c r="AO65" i="4" s="1"/>
  <c r="AP65" i="4" s="1"/>
  <c r="AQ65" i="4" s="1"/>
  <c r="AR65" i="4" s="1"/>
  <c r="AS65" i="4" s="1"/>
  <c r="AT65" i="4" s="1"/>
  <c r="AU65" i="4" s="1"/>
  <c r="AV65" i="4" s="1"/>
  <c r="AW65" i="4" s="1"/>
  <c r="AX65" i="4" s="1"/>
  <c r="AY65" i="4" s="1"/>
  <c r="AZ65" i="4" s="1"/>
  <c r="BA65" i="4" s="1"/>
  <c r="BB65" i="4" s="1"/>
  <c r="BC65" i="4" s="1"/>
  <c r="BD65" i="4" s="1"/>
  <c r="BE65" i="4" s="1"/>
  <c r="BF65" i="4" s="1"/>
  <c r="BG65" i="4" s="1"/>
  <c r="BH65" i="4" s="1"/>
  <c r="BI65" i="4" s="1"/>
  <c r="E7" i="6"/>
  <c r="E21" i="6" s="1"/>
  <c r="E30" i="6" s="1"/>
  <c r="F35" i="6"/>
  <c r="G35" i="6" s="1"/>
  <c r="H35" i="6" s="1"/>
  <c r="I35" i="6" s="1"/>
  <c r="J35" i="6" s="1"/>
  <c r="K35" i="6" s="1"/>
  <c r="L35" i="6" s="1"/>
  <c r="M35" i="6" s="1"/>
  <c r="N35" i="6" s="1"/>
  <c r="O35" i="6" s="1"/>
  <c r="P35" i="6" s="1"/>
  <c r="Q35" i="6" s="1"/>
  <c r="R35" i="6" s="1"/>
  <c r="S35" i="6" s="1"/>
  <c r="T35" i="6" s="1"/>
  <c r="U35" i="6" s="1"/>
  <c r="V35" i="6" s="1"/>
  <c r="W35" i="6" s="1"/>
  <c r="X35" i="6" s="1"/>
  <c r="Y35" i="6" s="1"/>
  <c r="Y31" i="6"/>
  <c r="Z31" i="6" s="1"/>
  <c r="AA31" i="6" s="1"/>
  <c r="AB31" i="6" s="1"/>
  <c r="AC31" i="6" s="1"/>
  <c r="AD31" i="6" s="1"/>
  <c r="AE31" i="6" s="1"/>
  <c r="AF31" i="6" s="1"/>
  <c r="AG31" i="6" s="1"/>
  <c r="AH31" i="6" s="1"/>
  <c r="AI31" i="6" s="1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E22" i="6"/>
  <c r="J5" i="6"/>
  <c r="G10" i="4"/>
  <c r="K82" i="4" s="1"/>
  <c r="L82" i="4" s="1"/>
  <c r="M82" i="4" s="1"/>
  <c r="N82" i="4" s="1"/>
  <c r="O82" i="4" s="1"/>
  <c r="P82" i="4" s="1"/>
  <c r="Q82" i="4" s="1"/>
  <c r="R82" i="4" s="1"/>
  <c r="M40" i="4"/>
  <c r="N40" i="4" s="1"/>
  <c r="O40" i="4" s="1"/>
  <c r="P40" i="4" s="1"/>
  <c r="Q40" i="4" s="1"/>
  <c r="R40" i="4" s="1"/>
  <c r="S40" i="4" s="1"/>
  <c r="T40" i="4" s="1"/>
  <c r="U40" i="4" s="1"/>
  <c r="V40" i="4" s="1"/>
  <c r="W40" i="4" s="1"/>
  <c r="X40" i="4" s="1"/>
  <c r="Y40" i="4" s="1"/>
  <c r="Z40" i="4" s="1"/>
  <c r="AA40" i="4" s="1"/>
  <c r="AB40" i="4" s="1"/>
  <c r="AC40" i="4" s="1"/>
  <c r="AD40" i="4" s="1"/>
  <c r="AE40" i="4" s="1"/>
  <c r="AF40" i="4" s="1"/>
  <c r="AG40" i="4" s="1"/>
  <c r="AH40" i="4" s="1"/>
  <c r="AI40" i="4" s="1"/>
  <c r="AJ40" i="4" s="1"/>
  <c r="AK40" i="4" s="1"/>
  <c r="AL40" i="4" s="1"/>
  <c r="AM40" i="4" s="1"/>
  <c r="AN40" i="4" s="1"/>
  <c r="AO40" i="4" s="1"/>
  <c r="AP40" i="4" s="1"/>
  <c r="AQ40" i="4" s="1"/>
  <c r="AR40" i="4" s="1"/>
  <c r="AS40" i="4" s="1"/>
  <c r="AT40" i="4" s="1"/>
  <c r="AU40" i="4" s="1"/>
  <c r="AV40" i="4" s="1"/>
  <c r="AW40" i="4" s="1"/>
  <c r="AX40" i="4" s="1"/>
  <c r="AY40" i="4" s="1"/>
  <c r="AZ40" i="4" s="1"/>
  <c r="BA40" i="4" s="1"/>
  <c r="BB40" i="4" s="1"/>
  <c r="BC40" i="4" s="1"/>
  <c r="BD40" i="4" s="1"/>
  <c r="BE40" i="4" s="1"/>
  <c r="BF40" i="4" s="1"/>
  <c r="BG40" i="4" s="1"/>
  <c r="BH40" i="4" s="1"/>
  <c r="BI40" i="4" s="1"/>
  <c r="G8" i="4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Y4" i="4" s="1"/>
  <c r="Z4" i="4" s="1"/>
  <c r="AA4" i="4" s="1"/>
  <c r="AB4" i="4" s="1"/>
  <c r="AC4" i="4" s="1"/>
  <c r="AD4" i="4" s="1"/>
  <c r="AE4" i="4" s="1"/>
  <c r="AF4" i="4" s="1"/>
  <c r="AG4" i="4" s="1"/>
  <c r="AH4" i="4" s="1"/>
  <c r="AI4" i="4" s="1"/>
  <c r="AJ4" i="4" s="1"/>
  <c r="AK4" i="4" s="1"/>
  <c r="AL4" i="4" s="1"/>
  <c r="AM4" i="4" s="1"/>
  <c r="AN4" i="4" s="1"/>
  <c r="AO4" i="4" s="1"/>
  <c r="AP4" i="4" s="1"/>
  <c r="AQ4" i="4" s="1"/>
  <c r="AR4" i="4" s="1"/>
  <c r="AS4" i="4" s="1"/>
  <c r="AT4" i="4" s="1"/>
  <c r="AU4" i="4" s="1"/>
  <c r="AV4" i="4" s="1"/>
  <c r="AW4" i="4" s="1"/>
  <c r="AX4" i="4" s="1"/>
  <c r="AY4" i="4" s="1"/>
  <c r="AZ4" i="4" s="1"/>
  <c r="BA4" i="4" s="1"/>
  <c r="BB4" i="4" s="1"/>
  <c r="BC4" i="4" s="1"/>
  <c r="BD4" i="4" s="1"/>
  <c r="BE4" i="4" s="1"/>
  <c r="BF4" i="4" s="1"/>
  <c r="BG4" i="4" s="1"/>
  <c r="BH4" i="4" s="1"/>
  <c r="BI4" i="4" s="1"/>
  <c r="G5" i="4"/>
  <c r="G4" i="4"/>
  <c r="L61" i="4"/>
  <c r="M61" i="4" s="1"/>
  <c r="N61" i="4" s="1"/>
  <c r="O61" i="4" s="1"/>
  <c r="P61" i="4" s="1"/>
  <c r="Q61" i="4" s="1"/>
  <c r="R61" i="4" s="1"/>
  <c r="S61" i="4" s="1"/>
  <c r="T61" i="4" s="1"/>
  <c r="U61" i="4" s="1"/>
  <c r="V61" i="4" s="1"/>
  <c r="W61" i="4" s="1"/>
  <c r="X61" i="4" s="1"/>
  <c r="Y61" i="4" s="1"/>
  <c r="Z61" i="4" s="1"/>
  <c r="AA61" i="4" s="1"/>
  <c r="AB61" i="4" s="1"/>
  <c r="AC61" i="4" s="1"/>
  <c r="AD61" i="4" s="1"/>
  <c r="AE61" i="4" s="1"/>
  <c r="AF61" i="4" s="1"/>
  <c r="AG61" i="4" s="1"/>
  <c r="AH61" i="4" s="1"/>
  <c r="AI61" i="4" s="1"/>
  <c r="AJ61" i="4" s="1"/>
  <c r="AK61" i="4" s="1"/>
  <c r="AL61" i="4" s="1"/>
  <c r="AM61" i="4" s="1"/>
  <c r="AN61" i="4" s="1"/>
  <c r="AO61" i="4" s="1"/>
  <c r="AP61" i="4" s="1"/>
  <c r="AQ61" i="4" s="1"/>
  <c r="AR61" i="4" s="1"/>
  <c r="AS61" i="4" s="1"/>
  <c r="AT61" i="4" s="1"/>
  <c r="AU61" i="4" s="1"/>
  <c r="AV61" i="4" s="1"/>
  <c r="AW61" i="4" s="1"/>
  <c r="AX61" i="4" s="1"/>
  <c r="AY61" i="4" s="1"/>
  <c r="AZ61" i="4" s="1"/>
  <c r="BA61" i="4" s="1"/>
  <c r="BB61" i="4" s="1"/>
  <c r="BC61" i="4" s="1"/>
  <c r="BD61" i="4" s="1"/>
  <c r="BE61" i="4" s="1"/>
  <c r="BF61" i="4" s="1"/>
  <c r="BG61" i="4" s="1"/>
  <c r="BH61" i="4" s="1"/>
  <c r="BI61" i="4" s="1"/>
  <c r="L60" i="4"/>
  <c r="M60" i="4" s="1"/>
  <c r="N60" i="4" s="1"/>
  <c r="O60" i="4" s="1"/>
  <c r="P60" i="4" s="1"/>
  <c r="Q60" i="4" s="1"/>
  <c r="R60" i="4" s="1"/>
  <c r="S60" i="4" s="1"/>
  <c r="T60" i="4" s="1"/>
  <c r="U60" i="4" s="1"/>
  <c r="V60" i="4" s="1"/>
  <c r="W60" i="4" s="1"/>
  <c r="X60" i="4" s="1"/>
  <c r="Y60" i="4" s="1"/>
  <c r="Z60" i="4" s="1"/>
  <c r="AA60" i="4" s="1"/>
  <c r="AB60" i="4" s="1"/>
  <c r="AC60" i="4" s="1"/>
  <c r="AD60" i="4" s="1"/>
  <c r="AE60" i="4" s="1"/>
  <c r="AF60" i="4" s="1"/>
  <c r="AG60" i="4" s="1"/>
  <c r="AH60" i="4" s="1"/>
  <c r="AI60" i="4" s="1"/>
  <c r="AJ60" i="4" s="1"/>
  <c r="AK60" i="4" s="1"/>
  <c r="AL60" i="4" s="1"/>
  <c r="AM60" i="4" s="1"/>
  <c r="AN60" i="4" s="1"/>
  <c r="AO60" i="4" s="1"/>
  <c r="AP60" i="4" s="1"/>
  <c r="AQ60" i="4" s="1"/>
  <c r="AR60" i="4" s="1"/>
  <c r="AS60" i="4" s="1"/>
  <c r="AT60" i="4" s="1"/>
  <c r="AU60" i="4" s="1"/>
  <c r="AV60" i="4" s="1"/>
  <c r="AW60" i="4" s="1"/>
  <c r="AX60" i="4" s="1"/>
  <c r="AY60" i="4" s="1"/>
  <c r="AZ60" i="4" s="1"/>
  <c r="BA60" i="4" s="1"/>
  <c r="BB60" i="4" s="1"/>
  <c r="BC60" i="4" s="1"/>
  <c r="BD60" i="4" s="1"/>
  <c r="BE60" i="4" s="1"/>
  <c r="BF60" i="4" s="1"/>
  <c r="BG60" i="4" s="1"/>
  <c r="BH60" i="4" s="1"/>
  <c r="BI60" i="4" s="1"/>
  <c r="H34" i="4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E32" i="4"/>
  <c r="E33" i="4" s="1"/>
  <c r="E34" i="4" s="1"/>
  <c r="B32" i="4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M23" i="4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AB23" i="4" s="1"/>
  <c r="AC23" i="4" s="1"/>
  <c r="AD23" i="4" s="1"/>
  <c r="AE23" i="4" s="1"/>
  <c r="AF23" i="4" s="1"/>
  <c r="AG23" i="4" s="1"/>
  <c r="AH23" i="4" s="1"/>
  <c r="AI23" i="4" s="1"/>
  <c r="AJ23" i="4" s="1"/>
  <c r="AK23" i="4" s="1"/>
  <c r="AL23" i="4" s="1"/>
  <c r="AM23" i="4" s="1"/>
  <c r="AN23" i="4" s="1"/>
  <c r="AO23" i="4" s="1"/>
  <c r="AP23" i="4" s="1"/>
  <c r="AQ23" i="4" s="1"/>
  <c r="AR23" i="4" s="1"/>
  <c r="AS23" i="4" s="1"/>
  <c r="AT23" i="4" s="1"/>
  <c r="AU23" i="4" s="1"/>
  <c r="AV23" i="4" s="1"/>
  <c r="AW23" i="4" s="1"/>
  <c r="AX23" i="4" s="1"/>
  <c r="AY23" i="4" s="1"/>
  <c r="AZ23" i="4" s="1"/>
  <c r="BA23" i="4" s="1"/>
  <c r="BB23" i="4" s="1"/>
  <c r="BC23" i="4" s="1"/>
  <c r="BD23" i="4" s="1"/>
  <c r="BE23" i="4" s="1"/>
  <c r="BF23" i="4" s="1"/>
  <c r="BG23" i="4" s="1"/>
  <c r="BH23" i="4" s="1"/>
  <c r="BI23" i="4" s="1"/>
  <c r="M22" i="4"/>
  <c r="N22" i="4" s="1"/>
  <c r="O22" i="4" s="1"/>
  <c r="P22" i="4" s="1"/>
  <c r="Q22" i="4" s="1"/>
  <c r="R22" i="4" s="1"/>
  <c r="S22" i="4" s="1"/>
  <c r="T22" i="4" s="1"/>
  <c r="U22" i="4" s="1"/>
  <c r="V22" i="4" s="1"/>
  <c r="W22" i="4" s="1"/>
  <c r="X22" i="4" s="1"/>
  <c r="Y22" i="4" s="1"/>
  <c r="Z22" i="4" s="1"/>
  <c r="AA22" i="4" s="1"/>
  <c r="AB22" i="4" s="1"/>
  <c r="AC22" i="4" s="1"/>
  <c r="AD22" i="4" s="1"/>
  <c r="AE22" i="4" s="1"/>
  <c r="AF22" i="4" s="1"/>
  <c r="AG22" i="4" s="1"/>
  <c r="AH22" i="4" s="1"/>
  <c r="AI22" i="4" s="1"/>
  <c r="AJ22" i="4" s="1"/>
  <c r="AK22" i="4" s="1"/>
  <c r="AL22" i="4" s="1"/>
  <c r="AM22" i="4" s="1"/>
  <c r="AN22" i="4" s="1"/>
  <c r="AO22" i="4" s="1"/>
  <c r="AP22" i="4" s="1"/>
  <c r="AQ22" i="4" s="1"/>
  <c r="AR22" i="4" s="1"/>
  <c r="AS22" i="4" s="1"/>
  <c r="AT22" i="4" s="1"/>
  <c r="AU22" i="4" s="1"/>
  <c r="AV22" i="4" s="1"/>
  <c r="AW22" i="4" s="1"/>
  <c r="AX22" i="4" s="1"/>
  <c r="AY22" i="4" s="1"/>
  <c r="AZ22" i="4" s="1"/>
  <c r="BA22" i="4" s="1"/>
  <c r="BB22" i="4" s="1"/>
  <c r="BC22" i="4" s="1"/>
  <c r="BD22" i="4" s="1"/>
  <c r="BE22" i="4" s="1"/>
  <c r="BF22" i="4" s="1"/>
  <c r="BG22" i="4" s="1"/>
  <c r="BH22" i="4" s="1"/>
  <c r="BI22" i="4" s="1"/>
  <c r="Q14" i="4"/>
  <c r="M6" i="4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I6" i="4" s="1"/>
  <c r="AJ6" i="4" s="1"/>
  <c r="AK6" i="4" s="1"/>
  <c r="AL6" i="4" s="1"/>
  <c r="AM6" i="4" s="1"/>
  <c r="AN6" i="4" s="1"/>
  <c r="AO6" i="4" s="1"/>
  <c r="AP6" i="4" s="1"/>
  <c r="AQ6" i="4" s="1"/>
  <c r="AR6" i="4" s="1"/>
  <c r="AS6" i="4" s="1"/>
  <c r="AT6" i="4" s="1"/>
  <c r="AU6" i="4" s="1"/>
  <c r="AV6" i="4" s="1"/>
  <c r="AW6" i="4" s="1"/>
  <c r="AX6" i="4" s="1"/>
  <c r="AY6" i="4" s="1"/>
  <c r="AZ6" i="4" s="1"/>
  <c r="BA6" i="4" s="1"/>
  <c r="BB6" i="4" s="1"/>
  <c r="BC6" i="4" s="1"/>
  <c r="BD6" i="4" s="1"/>
  <c r="BE6" i="4" s="1"/>
  <c r="BF6" i="4" s="1"/>
  <c r="BG6" i="4" s="1"/>
  <c r="BH6" i="4" s="1"/>
  <c r="BI6" i="4" s="1"/>
  <c r="L3" i="4"/>
  <c r="E15" i="1"/>
  <c r="I6" i="1"/>
  <c r="L9" i="7" l="1"/>
  <c r="C33" i="7"/>
  <c r="L10" i="7"/>
  <c r="D33" i="7"/>
  <c r="D39" i="7" s="1"/>
  <c r="L8" i="7"/>
  <c r="B33" i="7"/>
  <c r="B39" i="7" s="1"/>
  <c r="AA15" i="7"/>
  <c r="AA16" i="7" s="1"/>
  <c r="Z22" i="7"/>
  <c r="H86" i="7"/>
  <c r="C116" i="1"/>
  <c r="E50" i="1" s="1"/>
  <c r="H68" i="7"/>
  <c r="H87" i="7"/>
  <c r="E33" i="14"/>
  <c r="F32" i="14"/>
  <c r="B33" i="14"/>
  <c r="D32" i="14"/>
  <c r="E35" i="4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I16" i="1"/>
  <c r="K50" i="1"/>
  <c r="K64" i="1" s="1"/>
  <c r="N79" i="4"/>
  <c r="M84" i="4"/>
  <c r="L6" i="1"/>
  <c r="M71" i="4"/>
  <c r="N71" i="4" s="1"/>
  <c r="L19" i="4"/>
  <c r="M19" i="4" s="1"/>
  <c r="N19" i="4" s="1"/>
  <c r="O19" i="4" s="1"/>
  <c r="P19" i="4" s="1"/>
  <c r="Q19" i="4" s="1"/>
  <c r="R19" i="4" s="1"/>
  <c r="S19" i="4" s="1"/>
  <c r="T19" i="4" s="1"/>
  <c r="U19" i="4" s="1"/>
  <c r="V19" i="4" s="1"/>
  <c r="W19" i="4" s="1"/>
  <c r="X19" i="4" s="1"/>
  <c r="Y19" i="4" s="1"/>
  <c r="Z19" i="4" s="1"/>
  <c r="AA19" i="4" s="1"/>
  <c r="AB19" i="4" s="1"/>
  <c r="AC19" i="4" s="1"/>
  <c r="AD19" i="4" s="1"/>
  <c r="AE19" i="4" s="1"/>
  <c r="AF19" i="4" s="1"/>
  <c r="AG19" i="4" s="1"/>
  <c r="AH19" i="4" s="1"/>
  <c r="AI19" i="4" s="1"/>
  <c r="AJ19" i="4" s="1"/>
  <c r="AK19" i="4" s="1"/>
  <c r="AL19" i="4" s="1"/>
  <c r="AM19" i="4" s="1"/>
  <c r="AN19" i="4" s="1"/>
  <c r="AO19" i="4" s="1"/>
  <c r="AP19" i="4" s="1"/>
  <c r="AQ19" i="4" s="1"/>
  <c r="AR19" i="4" s="1"/>
  <c r="AS19" i="4" s="1"/>
  <c r="AT19" i="4" s="1"/>
  <c r="AU19" i="4" s="1"/>
  <c r="AV19" i="4" s="1"/>
  <c r="AW19" i="4" s="1"/>
  <c r="AX19" i="4" s="1"/>
  <c r="AY19" i="4" s="1"/>
  <c r="AZ19" i="4" s="1"/>
  <c r="BA19" i="4" s="1"/>
  <c r="BB19" i="4" s="1"/>
  <c r="BC19" i="4" s="1"/>
  <c r="BD19" i="4" s="1"/>
  <c r="BE19" i="4" s="1"/>
  <c r="BF19" i="4" s="1"/>
  <c r="BG19" i="4" s="1"/>
  <c r="BH19" i="4" s="1"/>
  <c r="BI19" i="4" s="1"/>
  <c r="L63" i="4"/>
  <c r="M63" i="4" s="1"/>
  <c r="N63" i="4" s="1"/>
  <c r="O63" i="4" s="1"/>
  <c r="P63" i="4" s="1"/>
  <c r="Q63" i="4" s="1"/>
  <c r="R63" i="4" s="1"/>
  <c r="S63" i="4" s="1"/>
  <c r="T63" i="4" s="1"/>
  <c r="U63" i="4" s="1"/>
  <c r="V63" i="4" s="1"/>
  <c r="W63" i="4" s="1"/>
  <c r="X63" i="4" s="1"/>
  <c r="Y63" i="4" s="1"/>
  <c r="Z63" i="4" s="1"/>
  <c r="AA63" i="4" s="1"/>
  <c r="AB63" i="4" s="1"/>
  <c r="AC63" i="4" s="1"/>
  <c r="AD63" i="4" s="1"/>
  <c r="AE63" i="4" s="1"/>
  <c r="AF63" i="4" s="1"/>
  <c r="AG63" i="4" s="1"/>
  <c r="AH63" i="4" s="1"/>
  <c r="AI63" i="4" s="1"/>
  <c r="AJ63" i="4" s="1"/>
  <c r="AK63" i="4" s="1"/>
  <c r="AL63" i="4" s="1"/>
  <c r="AM63" i="4" s="1"/>
  <c r="AN63" i="4" s="1"/>
  <c r="AO63" i="4" s="1"/>
  <c r="AP63" i="4" s="1"/>
  <c r="AQ63" i="4" s="1"/>
  <c r="AR63" i="4" s="1"/>
  <c r="AS63" i="4" s="1"/>
  <c r="AT63" i="4" s="1"/>
  <c r="AU63" i="4" s="1"/>
  <c r="AV63" i="4" s="1"/>
  <c r="AW63" i="4" s="1"/>
  <c r="AX63" i="4" s="1"/>
  <c r="AY63" i="4" s="1"/>
  <c r="AZ63" i="4" s="1"/>
  <c r="BA63" i="4" s="1"/>
  <c r="BB63" i="4" s="1"/>
  <c r="BC63" i="4" s="1"/>
  <c r="BD63" i="4" s="1"/>
  <c r="BE63" i="4" s="1"/>
  <c r="BF63" i="4" s="1"/>
  <c r="BG63" i="4" s="1"/>
  <c r="BH63" i="4" s="1"/>
  <c r="BI63" i="4" s="1"/>
  <c r="I7" i="1"/>
  <c r="K5" i="1" s="1"/>
  <c r="S82" i="4"/>
  <c r="O64" i="4"/>
  <c r="M68" i="4"/>
  <c r="L2" i="4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AC2" i="4" s="1"/>
  <c r="AD2" i="4" s="1"/>
  <c r="AE2" i="4" s="1"/>
  <c r="AF2" i="4" s="1"/>
  <c r="AG2" i="4" s="1"/>
  <c r="AH2" i="4" s="1"/>
  <c r="AI2" i="4" s="1"/>
  <c r="AJ2" i="4" s="1"/>
  <c r="AK2" i="4" s="1"/>
  <c r="AL2" i="4" s="1"/>
  <c r="AM2" i="4" s="1"/>
  <c r="AN2" i="4" s="1"/>
  <c r="AO2" i="4" s="1"/>
  <c r="AP2" i="4" s="1"/>
  <c r="AQ2" i="4" s="1"/>
  <c r="AR2" i="4" s="1"/>
  <c r="AS2" i="4" s="1"/>
  <c r="AT2" i="4" s="1"/>
  <c r="AU2" i="4" s="1"/>
  <c r="AV2" i="4" s="1"/>
  <c r="AW2" i="4" s="1"/>
  <c r="AX2" i="4" s="1"/>
  <c r="AY2" i="4" s="1"/>
  <c r="AZ2" i="4" s="1"/>
  <c r="BA2" i="4" s="1"/>
  <c r="BB2" i="4" s="1"/>
  <c r="BC2" i="4" s="1"/>
  <c r="BD2" i="4" s="1"/>
  <c r="BE2" i="4" s="1"/>
  <c r="BF2" i="4" s="1"/>
  <c r="BG2" i="4" s="1"/>
  <c r="BH2" i="4" s="1"/>
  <c r="BI2" i="4" s="1"/>
  <c r="E16" i="1"/>
  <c r="F22" i="6"/>
  <c r="X31" i="6"/>
  <c r="L5" i="4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BA5" i="4" s="1"/>
  <c r="BB5" i="4" s="1"/>
  <c r="BC5" i="4" s="1"/>
  <c r="BD5" i="4" s="1"/>
  <c r="BE5" i="4" s="1"/>
  <c r="BF5" i="4" s="1"/>
  <c r="BG5" i="4" s="1"/>
  <c r="BH5" i="4" s="1"/>
  <c r="BI5" i="4" s="1"/>
  <c r="L56" i="4"/>
  <c r="L10" i="4"/>
  <c r="I9" i="4"/>
  <c r="L37" i="4"/>
  <c r="M37" i="4" s="1"/>
  <c r="N37" i="4" s="1"/>
  <c r="O37" i="4" s="1"/>
  <c r="P37" i="4" s="1"/>
  <c r="Q37" i="4" s="1"/>
  <c r="R37" i="4" s="1"/>
  <c r="S37" i="4" s="1"/>
  <c r="T37" i="4" s="1"/>
  <c r="U37" i="4" s="1"/>
  <c r="V37" i="4" s="1"/>
  <c r="W37" i="4" s="1"/>
  <c r="X37" i="4" s="1"/>
  <c r="Y37" i="4" s="1"/>
  <c r="Z37" i="4" s="1"/>
  <c r="AA37" i="4" s="1"/>
  <c r="AB37" i="4" s="1"/>
  <c r="AC37" i="4" s="1"/>
  <c r="AD37" i="4" s="1"/>
  <c r="AE37" i="4" s="1"/>
  <c r="AF37" i="4" s="1"/>
  <c r="AG37" i="4" s="1"/>
  <c r="AH37" i="4" s="1"/>
  <c r="AI37" i="4" s="1"/>
  <c r="AJ37" i="4" s="1"/>
  <c r="AK37" i="4" s="1"/>
  <c r="AL37" i="4" s="1"/>
  <c r="AM37" i="4" s="1"/>
  <c r="AN37" i="4" s="1"/>
  <c r="AO37" i="4" s="1"/>
  <c r="AP37" i="4" s="1"/>
  <c r="AQ37" i="4" s="1"/>
  <c r="AR37" i="4" s="1"/>
  <c r="AS37" i="4" s="1"/>
  <c r="AT37" i="4" s="1"/>
  <c r="AU37" i="4" s="1"/>
  <c r="AV37" i="4" s="1"/>
  <c r="AW37" i="4" s="1"/>
  <c r="AX37" i="4" s="1"/>
  <c r="AY37" i="4" s="1"/>
  <c r="AZ37" i="4" s="1"/>
  <c r="BA37" i="4" s="1"/>
  <c r="BB37" i="4" s="1"/>
  <c r="BC37" i="4" s="1"/>
  <c r="BD37" i="4" s="1"/>
  <c r="BE37" i="4" s="1"/>
  <c r="BF37" i="4" s="1"/>
  <c r="BG37" i="4" s="1"/>
  <c r="BH37" i="4" s="1"/>
  <c r="BI37" i="4" s="1"/>
  <c r="L7" i="4"/>
  <c r="M34" i="4"/>
  <c r="O34" i="4" s="1"/>
  <c r="O35" i="4" s="1"/>
  <c r="L39" i="4"/>
  <c r="I26" i="4"/>
  <c r="L21" i="4"/>
  <c r="I26" i="1"/>
  <c r="L5" i="1" l="1"/>
  <c r="L7" i="1" s="1"/>
  <c r="L11" i="1" s="1"/>
  <c r="M17" i="1" s="1"/>
  <c r="B64" i="7"/>
  <c r="B44" i="7"/>
  <c r="N11" i="7"/>
  <c r="M11" i="7" s="1"/>
  <c r="C8" i="7" s="1"/>
  <c r="D65" i="7"/>
  <c r="K11" i="7"/>
  <c r="D63" i="7"/>
  <c r="K10" i="7"/>
  <c r="C6" i="7" s="1"/>
  <c r="D34" i="7"/>
  <c r="D38" i="7" s="1"/>
  <c r="AB15" i="7"/>
  <c r="AB16" i="7" s="1"/>
  <c r="AA22" i="7"/>
  <c r="I87" i="7"/>
  <c r="E34" i="14"/>
  <c r="F33" i="14"/>
  <c r="B34" i="14"/>
  <c r="B35" i="14" s="1"/>
  <c r="B39" i="14" s="1"/>
  <c r="D33" i="14"/>
  <c r="O79" i="4"/>
  <c r="N84" i="4"/>
  <c r="I37" i="1"/>
  <c r="I48" i="1" s="1"/>
  <c r="I62" i="1" s="1"/>
  <c r="E23" i="6"/>
  <c r="K77" i="4"/>
  <c r="K78" i="4" s="1"/>
  <c r="K80" i="4" s="1"/>
  <c r="T82" i="4"/>
  <c r="N68" i="4"/>
  <c r="M69" i="4"/>
  <c r="O71" i="4"/>
  <c r="P64" i="4"/>
  <c r="M3" i="4"/>
  <c r="G22" i="6"/>
  <c r="W31" i="6"/>
  <c r="L24" i="4"/>
  <c r="M21" i="4"/>
  <c r="N21" i="4" s="1"/>
  <c r="O21" i="4" s="1"/>
  <c r="P21" i="4" s="1"/>
  <c r="Q21" i="4" s="1"/>
  <c r="R21" i="4" s="1"/>
  <c r="S21" i="4" s="1"/>
  <c r="T21" i="4" s="1"/>
  <c r="U21" i="4" s="1"/>
  <c r="V21" i="4" s="1"/>
  <c r="W21" i="4" s="1"/>
  <c r="X21" i="4" s="1"/>
  <c r="Y21" i="4" s="1"/>
  <c r="Z21" i="4" s="1"/>
  <c r="AA21" i="4" s="1"/>
  <c r="AB21" i="4" s="1"/>
  <c r="AC21" i="4" s="1"/>
  <c r="AD21" i="4" s="1"/>
  <c r="AE21" i="4" s="1"/>
  <c r="AF21" i="4" s="1"/>
  <c r="AG21" i="4" s="1"/>
  <c r="AH21" i="4" s="1"/>
  <c r="AI21" i="4" s="1"/>
  <c r="AJ21" i="4" s="1"/>
  <c r="AK21" i="4" s="1"/>
  <c r="AL21" i="4" s="1"/>
  <c r="AM21" i="4" s="1"/>
  <c r="AN21" i="4" s="1"/>
  <c r="AO21" i="4" s="1"/>
  <c r="AP21" i="4" s="1"/>
  <c r="AQ21" i="4" s="1"/>
  <c r="AR21" i="4" s="1"/>
  <c r="AS21" i="4" s="1"/>
  <c r="AT21" i="4" s="1"/>
  <c r="AU21" i="4" s="1"/>
  <c r="AV21" i="4" s="1"/>
  <c r="AW21" i="4" s="1"/>
  <c r="AX21" i="4" s="1"/>
  <c r="AY21" i="4" s="1"/>
  <c r="AZ21" i="4" s="1"/>
  <c r="BA21" i="4" s="1"/>
  <c r="BB21" i="4" s="1"/>
  <c r="BC21" i="4" s="1"/>
  <c r="BD21" i="4" s="1"/>
  <c r="BE21" i="4" s="1"/>
  <c r="BF21" i="4" s="1"/>
  <c r="BG21" i="4" s="1"/>
  <c r="BH21" i="4" s="1"/>
  <c r="BI21" i="4" s="1"/>
  <c r="L8" i="4"/>
  <c r="L12" i="4" s="1"/>
  <c r="M7" i="4"/>
  <c r="L42" i="4"/>
  <c r="M39" i="4"/>
  <c r="N39" i="4" s="1"/>
  <c r="O39" i="4" s="1"/>
  <c r="P39" i="4" s="1"/>
  <c r="Q39" i="4" s="1"/>
  <c r="R39" i="4" s="1"/>
  <c r="S39" i="4" s="1"/>
  <c r="T39" i="4" s="1"/>
  <c r="U39" i="4" s="1"/>
  <c r="V39" i="4" s="1"/>
  <c r="W39" i="4" s="1"/>
  <c r="X39" i="4" s="1"/>
  <c r="Y39" i="4" s="1"/>
  <c r="Z39" i="4" s="1"/>
  <c r="AA39" i="4" s="1"/>
  <c r="AB39" i="4" s="1"/>
  <c r="AC39" i="4" s="1"/>
  <c r="AD39" i="4" s="1"/>
  <c r="AE39" i="4" s="1"/>
  <c r="AF39" i="4" s="1"/>
  <c r="AG39" i="4" s="1"/>
  <c r="AH39" i="4" s="1"/>
  <c r="AI39" i="4" s="1"/>
  <c r="AJ39" i="4" s="1"/>
  <c r="AK39" i="4" s="1"/>
  <c r="AL39" i="4" s="1"/>
  <c r="AM39" i="4" s="1"/>
  <c r="AN39" i="4" s="1"/>
  <c r="AO39" i="4" s="1"/>
  <c r="AP39" i="4" s="1"/>
  <c r="AQ39" i="4" s="1"/>
  <c r="AR39" i="4" s="1"/>
  <c r="AS39" i="4" s="1"/>
  <c r="AT39" i="4" s="1"/>
  <c r="AU39" i="4" s="1"/>
  <c r="AV39" i="4" s="1"/>
  <c r="AW39" i="4" s="1"/>
  <c r="AX39" i="4" s="1"/>
  <c r="AY39" i="4" s="1"/>
  <c r="AZ39" i="4" s="1"/>
  <c r="BA39" i="4" s="1"/>
  <c r="BB39" i="4" s="1"/>
  <c r="BC39" i="4" s="1"/>
  <c r="BD39" i="4" s="1"/>
  <c r="BE39" i="4" s="1"/>
  <c r="BF39" i="4" s="1"/>
  <c r="BG39" i="4" s="1"/>
  <c r="BH39" i="4" s="1"/>
  <c r="BI39" i="4" s="1"/>
  <c r="J26" i="1"/>
  <c r="N34" i="1"/>
  <c r="O34" i="1" s="1"/>
  <c r="P34" i="1" s="1"/>
  <c r="Q34" i="1" s="1"/>
  <c r="R34" i="1" s="1"/>
  <c r="C105" i="1"/>
  <c r="E39" i="1" s="1"/>
  <c r="N25" i="1"/>
  <c r="O25" i="1" s="1"/>
  <c r="P25" i="1" s="1"/>
  <c r="Q25" i="1" s="1"/>
  <c r="R25" i="1" s="1"/>
  <c r="S25" i="1" s="1"/>
  <c r="T25" i="1" s="1"/>
  <c r="U25" i="1" s="1"/>
  <c r="N18" i="1"/>
  <c r="O18" i="1" s="1"/>
  <c r="P18" i="1" s="1"/>
  <c r="Q18" i="1" s="1"/>
  <c r="R18" i="1" s="1"/>
  <c r="S18" i="1" s="1"/>
  <c r="T18" i="1" s="1"/>
  <c r="U18" i="1" s="1"/>
  <c r="C38" i="7" l="1"/>
  <c r="C63" i="7" s="1"/>
  <c r="C40" i="7"/>
  <c r="C65" i="7" s="1"/>
  <c r="L11" i="7"/>
  <c r="C7" i="7" s="1"/>
  <c r="D64" i="7"/>
  <c r="C39" i="7" s="1"/>
  <c r="G22" i="4"/>
  <c r="G23" i="4" s="1"/>
  <c r="AB22" i="7"/>
  <c r="AC15" i="7"/>
  <c r="AC16" i="7" s="1"/>
  <c r="I111" i="3"/>
  <c r="G29" i="4"/>
  <c r="B40" i="14"/>
  <c r="D39" i="14"/>
  <c r="E35" i="14"/>
  <c r="F34" i="14"/>
  <c r="D35" i="14"/>
  <c r="D34" i="14"/>
  <c r="C111" i="1"/>
  <c r="E45" i="1" s="1"/>
  <c r="C103" i="1"/>
  <c r="E37" i="1" s="1"/>
  <c r="P79" i="4"/>
  <c r="O84" i="4"/>
  <c r="F21" i="6"/>
  <c r="F23" i="6" s="1"/>
  <c r="L80" i="4"/>
  <c r="U82" i="4"/>
  <c r="P71" i="4"/>
  <c r="Q64" i="4"/>
  <c r="N69" i="4"/>
  <c r="O68" i="4"/>
  <c r="N3" i="4"/>
  <c r="M56" i="4"/>
  <c r="M10" i="4"/>
  <c r="H22" i="6"/>
  <c r="V31" i="6"/>
  <c r="M42" i="4"/>
  <c r="N7" i="4"/>
  <c r="M8" i="4"/>
  <c r="M24" i="4"/>
  <c r="M19" i="1"/>
  <c r="N17" i="1" s="1"/>
  <c r="N19" i="1" l="1"/>
  <c r="O17" i="1" s="1"/>
  <c r="O19" i="1" s="1"/>
  <c r="P17" i="1" s="1"/>
  <c r="P19" i="1" s="1"/>
  <c r="Q17" i="1" s="1"/>
  <c r="Q19" i="1" s="1"/>
  <c r="R17" i="1" s="1"/>
  <c r="R19" i="1" s="1"/>
  <c r="S17" i="1" s="1"/>
  <c r="S19" i="1" s="1"/>
  <c r="T17" i="1" s="1"/>
  <c r="T19" i="1" s="1"/>
  <c r="U17" i="1" s="1"/>
  <c r="U19" i="1" s="1"/>
  <c r="C64" i="7"/>
  <c r="C44" i="7"/>
  <c r="G26" i="4"/>
  <c r="G28" i="4" s="1"/>
  <c r="AD15" i="7"/>
  <c r="AD16" i="7" s="1"/>
  <c r="AC22" i="7"/>
  <c r="N56" i="4"/>
  <c r="F35" i="14"/>
  <c r="F36" i="14" s="1"/>
  <c r="G37" i="14" s="1"/>
  <c r="G38" i="14" s="1"/>
  <c r="E39" i="14"/>
  <c r="D40" i="14"/>
  <c r="B41" i="14"/>
  <c r="D36" i="14"/>
  <c r="C101" i="1"/>
  <c r="E35" i="1" s="1"/>
  <c r="O3" i="4"/>
  <c r="O56" i="4" s="1"/>
  <c r="N10" i="4"/>
  <c r="M12" i="4"/>
  <c r="M13" i="4" s="1"/>
  <c r="Q79" i="4"/>
  <c r="P84" i="4"/>
  <c r="F30" i="6"/>
  <c r="G21" i="6"/>
  <c r="G30" i="6" s="1"/>
  <c r="M80" i="4"/>
  <c r="V82" i="4"/>
  <c r="O69" i="4"/>
  <c r="P68" i="4"/>
  <c r="Q71" i="4"/>
  <c r="R64" i="4"/>
  <c r="U31" i="6"/>
  <c r="I22" i="6"/>
  <c r="N24" i="4"/>
  <c r="N42" i="4"/>
  <c r="O7" i="4"/>
  <c r="N8" i="4"/>
  <c r="N12" i="4" s="1"/>
  <c r="N21" i="1" l="1"/>
  <c r="M21" i="1" s="1"/>
  <c r="I27" i="1" s="1"/>
  <c r="AE15" i="7"/>
  <c r="AE16" i="7" s="1"/>
  <c r="AD22" i="7"/>
  <c r="B42" i="14"/>
  <c r="D41" i="14"/>
  <c r="E40" i="14"/>
  <c r="F39" i="14"/>
  <c r="O10" i="4"/>
  <c r="P3" i="4"/>
  <c r="P56" i="4" s="1"/>
  <c r="R79" i="4"/>
  <c r="Q84" i="4"/>
  <c r="H21" i="6"/>
  <c r="H23" i="6" s="1"/>
  <c r="G23" i="6"/>
  <c r="N80" i="4"/>
  <c r="W82" i="4"/>
  <c r="P69" i="4"/>
  <c r="Q68" i="4"/>
  <c r="R71" i="4"/>
  <c r="R73" i="4" s="1"/>
  <c r="R74" i="4" s="1"/>
  <c r="S64" i="4"/>
  <c r="J22" i="6"/>
  <c r="T31" i="6"/>
  <c r="O24" i="4"/>
  <c r="P7" i="4"/>
  <c r="O8" i="4"/>
  <c r="O42" i="4"/>
  <c r="J27" i="1" l="1"/>
  <c r="J28" i="1" s="1"/>
  <c r="I29" i="1" s="1"/>
  <c r="H14" i="1"/>
  <c r="I28" i="1"/>
  <c r="C113" i="1" s="1"/>
  <c r="E47" i="1" s="1"/>
  <c r="C112" i="1"/>
  <c r="E46" i="1" s="1"/>
  <c r="L24" i="1"/>
  <c r="L25" i="1" s="1"/>
  <c r="L23" i="1" s="1"/>
  <c r="AF15" i="7"/>
  <c r="AF16" i="7" s="1"/>
  <c r="AF22" i="7" s="1"/>
  <c r="AE22" i="7"/>
  <c r="F40" i="14"/>
  <c r="E41" i="14"/>
  <c r="B43" i="14"/>
  <c r="D42" i="14"/>
  <c r="Q3" i="4"/>
  <c r="R3" i="4" s="1"/>
  <c r="P10" i="4"/>
  <c r="O12" i="4"/>
  <c r="O15" i="4" s="1"/>
  <c r="H30" i="6"/>
  <c r="I21" i="6"/>
  <c r="I30" i="6" s="1"/>
  <c r="S79" i="4"/>
  <c r="R84" i="4"/>
  <c r="O80" i="4"/>
  <c r="P80" i="4" s="1"/>
  <c r="Q80" i="4" s="1"/>
  <c r="R80" i="4" s="1"/>
  <c r="X82" i="4"/>
  <c r="Q69" i="4"/>
  <c r="R68" i="4"/>
  <c r="T64" i="4"/>
  <c r="S71" i="4"/>
  <c r="S73" i="4" s="1"/>
  <c r="S74" i="4" s="1"/>
  <c r="S31" i="6"/>
  <c r="K22" i="6"/>
  <c r="Q56" i="4"/>
  <c r="P8" i="4"/>
  <c r="Q7" i="4"/>
  <c r="P24" i="4"/>
  <c r="P42" i="4"/>
  <c r="H15" i="1"/>
  <c r="H18" i="1" s="1"/>
  <c r="I30" i="1" l="1"/>
  <c r="C121" i="1"/>
  <c r="E55" i="1" s="1"/>
  <c r="Q10" i="4"/>
  <c r="P12" i="4"/>
  <c r="B44" i="14"/>
  <c r="D43" i="14"/>
  <c r="F41" i="14"/>
  <c r="E42" i="14"/>
  <c r="J21" i="6"/>
  <c r="J23" i="6" s="1"/>
  <c r="I23" i="6"/>
  <c r="C104" i="1"/>
  <c r="E38" i="1" s="1"/>
  <c r="T79" i="4"/>
  <c r="S84" i="4"/>
  <c r="S80" i="4"/>
  <c r="Y82" i="4"/>
  <c r="T71" i="4"/>
  <c r="T73" i="4" s="1"/>
  <c r="T74" i="4" s="1"/>
  <c r="U64" i="4"/>
  <c r="R69" i="4"/>
  <c r="S68" i="4"/>
  <c r="L22" i="6"/>
  <c r="R31" i="6"/>
  <c r="Q24" i="4"/>
  <c r="R56" i="4"/>
  <c r="R10" i="4"/>
  <c r="S3" i="4"/>
  <c r="Q8" i="4"/>
  <c r="Q12" i="4" s="1"/>
  <c r="R7" i="4"/>
  <c r="Q42" i="4"/>
  <c r="E17" i="1"/>
  <c r="H19" i="1"/>
  <c r="B45" i="14" l="1"/>
  <c r="D44" i="14"/>
  <c r="E43" i="14"/>
  <c r="F43" i="14" s="1"/>
  <c r="F42" i="14"/>
  <c r="J30" i="6"/>
  <c r="C114" i="1"/>
  <c r="E48" i="1" s="1"/>
  <c r="K21" i="6"/>
  <c r="L21" i="6" s="1"/>
  <c r="U79" i="4"/>
  <c r="T84" i="4"/>
  <c r="I32" i="1"/>
  <c r="T80" i="4"/>
  <c r="Z82" i="4"/>
  <c r="AA82" i="4" s="1"/>
  <c r="AB82" i="4" s="1"/>
  <c r="AC82" i="4" s="1"/>
  <c r="AD82" i="4" s="1"/>
  <c r="S69" i="4"/>
  <c r="T68" i="4"/>
  <c r="U71" i="4"/>
  <c r="U73" i="4" s="1"/>
  <c r="U74" i="4" s="1"/>
  <c r="V64" i="4"/>
  <c r="M22" i="6"/>
  <c r="Q31" i="6"/>
  <c r="R8" i="4"/>
  <c r="R12" i="4" s="1"/>
  <c r="S7" i="4"/>
  <c r="R42" i="4"/>
  <c r="S56" i="4"/>
  <c r="S10" i="4"/>
  <c r="T3" i="4"/>
  <c r="R24" i="4"/>
  <c r="I34" i="1" l="1"/>
  <c r="M24" i="1" s="1"/>
  <c r="E44" i="14"/>
  <c r="E45" i="14"/>
  <c r="F44" i="14"/>
  <c r="B46" i="14"/>
  <c r="D45" i="14"/>
  <c r="K30" i="6"/>
  <c r="K23" i="6"/>
  <c r="C115" i="1"/>
  <c r="E49" i="1" s="1"/>
  <c r="B106" i="1"/>
  <c r="D40" i="1" s="1"/>
  <c r="C106" i="1"/>
  <c r="E40" i="1" s="1"/>
  <c r="V79" i="4"/>
  <c r="U84" i="4"/>
  <c r="U80" i="4"/>
  <c r="V71" i="4"/>
  <c r="V73" i="4" s="1"/>
  <c r="V74" i="4" s="1"/>
  <c r="W64" i="4"/>
  <c r="T69" i="4"/>
  <c r="U68" i="4"/>
  <c r="L23" i="6"/>
  <c r="M21" i="6"/>
  <c r="P31" i="6"/>
  <c r="L30" i="6"/>
  <c r="N22" i="6"/>
  <c r="S42" i="4"/>
  <c r="T56" i="4"/>
  <c r="T10" i="4"/>
  <c r="U3" i="4"/>
  <c r="S8" i="4"/>
  <c r="S12" i="4" s="1"/>
  <c r="T7" i="4"/>
  <c r="S24" i="4"/>
  <c r="C117" i="1"/>
  <c r="E51" i="1" s="1"/>
  <c r="B47" i="14" l="1"/>
  <c r="D46" i="14"/>
  <c r="E46" i="14"/>
  <c r="F45" i="14"/>
  <c r="V84" i="4"/>
  <c r="W79" i="4"/>
  <c r="V80" i="4"/>
  <c r="V68" i="4"/>
  <c r="U69" i="4"/>
  <c r="W71" i="4"/>
  <c r="W73" i="4" s="1"/>
  <c r="W74" i="4" s="1"/>
  <c r="X64" i="4"/>
  <c r="M23" i="6"/>
  <c r="N21" i="6"/>
  <c r="N30" i="6" s="1"/>
  <c r="O22" i="6"/>
  <c r="O31" i="6"/>
  <c r="M30" i="6"/>
  <c r="T8" i="4"/>
  <c r="T12" i="4" s="1"/>
  <c r="U7" i="4"/>
  <c r="U56" i="4"/>
  <c r="U10" i="4"/>
  <c r="V3" i="4"/>
  <c r="T24" i="4"/>
  <c r="T42" i="4"/>
  <c r="E47" i="14" l="1"/>
  <c r="F46" i="14"/>
  <c r="B48" i="14"/>
  <c r="D47" i="14"/>
  <c r="C119" i="1"/>
  <c r="E53" i="1" s="1"/>
  <c r="X79" i="4"/>
  <c r="W84" i="4"/>
  <c r="W80" i="4"/>
  <c r="X71" i="4"/>
  <c r="X73" i="4" s="1"/>
  <c r="X74" i="4" s="1"/>
  <c r="Y64" i="4"/>
  <c r="W68" i="4"/>
  <c r="V69" i="4"/>
  <c r="N31" i="6"/>
  <c r="P22" i="6"/>
  <c r="N23" i="6"/>
  <c r="O21" i="6"/>
  <c r="U24" i="4"/>
  <c r="V56" i="4"/>
  <c r="V10" i="4"/>
  <c r="W3" i="4"/>
  <c r="U42" i="4"/>
  <c r="V7" i="4"/>
  <c r="U8" i="4"/>
  <c r="U12" i="4" s="1"/>
  <c r="L14" i="4" s="1"/>
  <c r="M14" i="4" s="1"/>
  <c r="B49" i="14" l="1"/>
  <c r="D48" i="14"/>
  <c r="F47" i="14"/>
  <c r="E48" i="14"/>
  <c r="Y79" i="4"/>
  <c r="X84" i="4"/>
  <c r="X80" i="4"/>
  <c r="Y71" i="4"/>
  <c r="Y73" i="4" s="1"/>
  <c r="Y74" i="4" s="1"/>
  <c r="Z64" i="4"/>
  <c r="W69" i="4"/>
  <c r="X68" i="4"/>
  <c r="O23" i="6"/>
  <c r="P21" i="6"/>
  <c r="P30" i="6" s="1"/>
  <c r="O30" i="6"/>
  <c r="O32" i="6"/>
  <c r="Q22" i="6"/>
  <c r="M31" i="6"/>
  <c r="N32" i="6"/>
  <c r="W7" i="4"/>
  <c r="V8" i="4"/>
  <c r="W56" i="4"/>
  <c r="W10" i="4"/>
  <c r="X3" i="4"/>
  <c r="V42" i="4"/>
  <c r="V24" i="4"/>
  <c r="E49" i="14" l="1"/>
  <c r="F48" i="14"/>
  <c r="B50" i="14"/>
  <c r="D50" i="14" s="1"/>
  <c r="D49" i="14"/>
  <c r="Z79" i="4"/>
  <c r="Y84" i="4"/>
  <c r="Y80" i="4"/>
  <c r="Y68" i="4"/>
  <c r="X69" i="4"/>
  <c r="Z71" i="4"/>
  <c r="Z73" i="4" s="1"/>
  <c r="Z74" i="4" s="1"/>
  <c r="AA64" i="4"/>
  <c r="R22" i="6"/>
  <c r="P23" i="6"/>
  <c r="Q21" i="6"/>
  <c r="P32" i="6"/>
  <c r="M32" i="6"/>
  <c r="L31" i="6"/>
  <c r="W42" i="4"/>
  <c r="X56" i="4"/>
  <c r="X10" i="4"/>
  <c r="Y3" i="4"/>
  <c r="W24" i="4"/>
  <c r="X7" i="4"/>
  <c r="W8" i="4"/>
  <c r="D51" i="14" l="1"/>
  <c r="E52" i="14" s="1"/>
  <c r="E53" i="14" s="1"/>
  <c r="E50" i="14"/>
  <c r="F50" i="14" s="1"/>
  <c r="F49" i="14"/>
  <c r="AA79" i="4"/>
  <c r="Z84" i="4"/>
  <c r="Z80" i="4"/>
  <c r="AA71" i="4"/>
  <c r="AA73" i="4" s="1"/>
  <c r="AA74" i="4" s="1"/>
  <c r="AB64" i="4"/>
  <c r="Y69" i="4"/>
  <c r="Z68" i="4"/>
  <c r="K31" i="6"/>
  <c r="L32" i="6"/>
  <c r="R21" i="6"/>
  <c r="R30" i="6" s="1"/>
  <c r="Q23" i="6"/>
  <c r="Q32" i="6"/>
  <c r="S22" i="6"/>
  <c r="Q30" i="6"/>
  <c r="Y7" i="4"/>
  <c r="X8" i="4"/>
  <c r="X24" i="4"/>
  <c r="Y56" i="4"/>
  <c r="Z3" i="4"/>
  <c r="H15" i="4" s="1"/>
  <c r="Y10" i="4"/>
  <c r="X42" i="4"/>
  <c r="F51" i="14" l="1"/>
  <c r="G52" i="14" s="1"/>
  <c r="G53" i="14" s="1"/>
  <c r="AB79" i="4"/>
  <c r="AA84" i="4"/>
  <c r="AA80" i="4"/>
  <c r="Z69" i="4"/>
  <c r="AA68" i="4"/>
  <c r="AB71" i="4"/>
  <c r="AB73" i="4" s="1"/>
  <c r="AB74" i="4" s="1"/>
  <c r="AC64" i="4"/>
  <c r="T22" i="6"/>
  <c r="S21" i="6"/>
  <c r="R23" i="6"/>
  <c r="R32" i="6"/>
  <c r="K32" i="6"/>
  <c r="J31" i="6"/>
  <c r="Z56" i="4"/>
  <c r="Z10" i="4"/>
  <c r="AA3" i="4"/>
  <c r="Y24" i="4"/>
  <c r="Y42" i="4"/>
  <c r="Y8" i="4"/>
  <c r="Z7" i="4"/>
  <c r="AC79" i="4" l="1"/>
  <c r="AB84" i="4"/>
  <c r="AB80" i="4"/>
  <c r="AC71" i="4"/>
  <c r="AC73" i="4" s="1"/>
  <c r="AC74" i="4" s="1"/>
  <c r="AD64" i="4"/>
  <c r="AA69" i="4"/>
  <c r="AB68" i="4"/>
  <c r="J32" i="6"/>
  <c r="I31" i="6"/>
  <c r="T21" i="6"/>
  <c r="S23" i="6"/>
  <c r="S32" i="6"/>
  <c r="S30" i="6"/>
  <c r="U22" i="6"/>
  <c r="Z42" i="4"/>
  <c r="Z24" i="4"/>
  <c r="AA56" i="4"/>
  <c r="AA10" i="4"/>
  <c r="AB3" i="4"/>
  <c r="AA7" i="4"/>
  <c r="Z8" i="4"/>
  <c r="AD79" i="4" l="1"/>
  <c r="AD84" i="4" s="1"/>
  <c r="AC84" i="4"/>
  <c r="AC80" i="4"/>
  <c r="AD71" i="4"/>
  <c r="AD73" i="4" s="1"/>
  <c r="AD74" i="4" s="1"/>
  <c r="AE64" i="4"/>
  <c r="AB69" i="4"/>
  <c r="AC68" i="4"/>
  <c r="O14" i="4"/>
  <c r="O16" i="4" s="1"/>
  <c r="V22" i="6"/>
  <c r="T23" i="6"/>
  <c r="U21" i="6"/>
  <c r="U30" i="6" s="1"/>
  <c r="T32" i="6"/>
  <c r="T30" i="6"/>
  <c r="I32" i="6"/>
  <c r="H31" i="6"/>
  <c r="AB56" i="4"/>
  <c r="AB10" i="4"/>
  <c r="AC3" i="4"/>
  <c r="AA8" i="4"/>
  <c r="AB7" i="4"/>
  <c r="AA24" i="4"/>
  <c r="AA42" i="4"/>
  <c r="AD80" i="4" l="1"/>
  <c r="AE71" i="4"/>
  <c r="AE73" i="4" s="1"/>
  <c r="AE74" i="4" s="1"/>
  <c r="AF64" i="4"/>
  <c r="AD68" i="4"/>
  <c r="AC69" i="4"/>
  <c r="U23" i="6"/>
  <c r="V21" i="6"/>
  <c r="V30" i="6" s="1"/>
  <c r="U32" i="6"/>
  <c r="W22" i="6"/>
  <c r="H32" i="6"/>
  <c r="G31" i="6"/>
  <c r="AB24" i="4"/>
  <c r="AB42" i="4"/>
  <c r="AB8" i="4"/>
  <c r="AC7" i="4"/>
  <c r="AC56" i="4"/>
  <c r="AD3" i="4"/>
  <c r="AC10" i="4"/>
  <c r="AF71" i="4" l="1"/>
  <c r="AF73" i="4" s="1"/>
  <c r="AF74" i="4" s="1"/>
  <c r="AG64" i="4"/>
  <c r="AE68" i="4"/>
  <c r="AD69" i="4"/>
  <c r="V23" i="6"/>
  <c r="W21" i="6"/>
  <c r="W30" i="6" s="1"/>
  <c r="V32" i="6"/>
  <c r="G32" i="6"/>
  <c r="F31" i="6"/>
  <c r="X22" i="6"/>
  <c r="AD56" i="4"/>
  <c r="AD10" i="4"/>
  <c r="AE3" i="4"/>
  <c r="AD7" i="4"/>
  <c r="AC8" i="4"/>
  <c r="AC42" i="4"/>
  <c r="AC24" i="4"/>
  <c r="O32" i="4" l="1"/>
  <c r="O30" i="4" s="1"/>
  <c r="N32" i="4"/>
  <c r="AG71" i="4"/>
  <c r="AG73" i="4" s="1"/>
  <c r="AG74" i="4" s="1"/>
  <c r="AH64" i="4"/>
  <c r="AE69" i="4"/>
  <c r="AF68" i="4"/>
  <c r="Y22" i="6"/>
  <c r="F32" i="6"/>
  <c r="E31" i="6"/>
  <c r="E32" i="6" s="1"/>
  <c r="W23" i="6"/>
  <c r="X21" i="6"/>
  <c r="W32" i="6"/>
  <c r="AD42" i="4"/>
  <c r="AE7" i="4"/>
  <c r="AD8" i="4"/>
  <c r="AD24" i="4"/>
  <c r="AE56" i="4"/>
  <c r="AE10" i="4"/>
  <c r="AF3" i="4"/>
  <c r="N14" i="4" l="1"/>
  <c r="G15" i="4" s="1"/>
  <c r="AG68" i="4"/>
  <c r="AF69" i="4"/>
  <c r="AH71" i="4"/>
  <c r="AH73" i="4" s="1"/>
  <c r="AH74" i="4" s="1"/>
  <c r="AI64" i="4"/>
  <c r="Z22" i="6"/>
  <c r="X23" i="6"/>
  <c r="Y21" i="6"/>
  <c r="Y30" i="6" s="1"/>
  <c r="X32" i="6"/>
  <c r="W24" i="6"/>
  <c r="V24" i="6" s="1"/>
  <c r="U24" i="6" s="1"/>
  <c r="T24" i="6" s="1"/>
  <c r="S24" i="6" s="1"/>
  <c r="R24" i="6" s="1"/>
  <c r="Q24" i="6" s="1"/>
  <c r="P24" i="6" s="1"/>
  <c r="O24" i="6" s="1"/>
  <c r="N24" i="6" s="1"/>
  <c r="M24" i="6" s="1"/>
  <c r="L24" i="6" s="1"/>
  <c r="K24" i="6" s="1"/>
  <c r="J24" i="6" s="1"/>
  <c r="I24" i="6" s="1"/>
  <c r="H24" i="6" s="1"/>
  <c r="G24" i="6" s="1"/>
  <c r="F24" i="6" s="1"/>
  <c r="X30" i="6"/>
  <c r="AF56" i="4"/>
  <c r="AF10" i="4"/>
  <c r="AG3" i="4"/>
  <c r="AE24" i="4"/>
  <c r="AE8" i="4"/>
  <c r="AF7" i="4"/>
  <c r="AE42" i="4"/>
  <c r="E24" i="6" l="1"/>
  <c r="D24" i="6"/>
  <c r="AI71" i="4"/>
  <c r="AI73" i="4" s="1"/>
  <c r="AI74" i="4" s="1"/>
  <c r="AJ64" i="4"/>
  <c r="AG69" i="4"/>
  <c r="AH68" i="4"/>
  <c r="Z21" i="6"/>
  <c r="Y23" i="6"/>
  <c r="Y32" i="6"/>
  <c r="D32" i="6" s="1"/>
  <c r="D27" i="6" s="1"/>
  <c r="X24" i="6"/>
  <c r="AA22" i="6"/>
  <c r="AF24" i="4"/>
  <c r="AF8" i="4"/>
  <c r="AG7" i="4"/>
  <c r="AG56" i="4"/>
  <c r="AG10" i="4"/>
  <c r="AH3" i="4"/>
  <c r="AF42" i="4"/>
  <c r="AH69" i="4" l="1"/>
  <c r="AI68" i="4"/>
  <c r="AJ71" i="4"/>
  <c r="AJ73" i="4" s="1"/>
  <c r="AJ74" i="4" s="1"/>
  <c r="AK64" i="4"/>
  <c r="E26" i="6"/>
  <c r="D29" i="6"/>
  <c r="AB22" i="6"/>
  <c r="AA21" i="6"/>
  <c r="Z23" i="6"/>
  <c r="Y24" i="6"/>
  <c r="AG24" i="4"/>
  <c r="AH56" i="4"/>
  <c r="AH10" i="4"/>
  <c r="AI3" i="4"/>
  <c r="AG42" i="4"/>
  <c r="AG8" i="4"/>
  <c r="AH7" i="4"/>
  <c r="AK71" i="4" l="1"/>
  <c r="AK73" i="4" s="1"/>
  <c r="AK74" i="4" s="1"/>
  <c r="AL64" i="4"/>
  <c r="AI69" i="4"/>
  <c r="AJ68" i="4"/>
  <c r="AC22" i="6"/>
  <c r="AB21" i="6"/>
  <c r="AA23" i="6"/>
  <c r="Z24" i="6"/>
  <c r="F26" i="6"/>
  <c r="E36" i="6"/>
  <c r="AH24" i="4"/>
  <c r="AI56" i="4"/>
  <c r="AI10" i="4"/>
  <c r="AJ3" i="4"/>
  <c r="AH8" i="4"/>
  <c r="AI7" i="4"/>
  <c r="AH42" i="4"/>
  <c r="C30" i="1" l="1"/>
  <c r="AJ69" i="4"/>
  <c r="AK68" i="4"/>
  <c r="AM64" i="4"/>
  <c r="AL71" i="4"/>
  <c r="AL73" i="4" s="1"/>
  <c r="AL74" i="4" s="1"/>
  <c r="F27" i="6"/>
  <c r="G26" i="6" s="1"/>
  <c r="F36" i="6"/>
  <c r="AB23" i="6"/>
  <c r="AC21" i="6"/>
  <c r="AA24" i="6"/>
  <c r="AD22" i="6"/>
  <c r="AI8" i="4"/>
  <c r="AJ7" i="4"/>
  <c r="AJ56" i="4"/>
  <c r="AJ10" i="4"/>
  <c r="AK3" i="4"/>
  <c r="AI42" i="4"/>
  <c r="AI24" i="4"/>
  <c r="H22" i="4" l="1"/>
  <c r="H23" i="4" s="1"/>
  <c r="AL68" i="4"/>
  <c r="AK69" i="4"/>
  <c r="AN64" i="4"/>
  <c r="AM71" i="4"/>
  <c r="AM73" i="4" s="1"/>
  <c r="AM74" i="4" s="1"/>
  <c r="AD21" i="6"/>
  <c r="AC23" i="6"/>
  <c r="AB24" i="6"/>
  <c r="AE22" i="6"/>
  <c r="G27" i="6"/>
  <c r="H26" i="6" s="1"/>
  <c r="G36" i="6"/>
  <c r="AK56" i="4"/>
  <c r="AK10" i="4"/>
  <c r="AK12" i="4" s="1"/>
  <c r="AL3" i="4"/>
  <c r="AJ42" i="4"/>
  <c r="AJ8" i="4"/>
  <c r="AK7" i="4"/>
  <c r="AJ24" i="4"/>
  <c r="AN71" i="4" l="1"/>
  <c r="AN73" i="4" s="1"/>
  <c r="AN74" i="4" s="1"/>
  <c r="AO64" i="4"/>
  <c r="AM68" i="4"/>
  <c r="AL69" i="4"/>
  <c r="H27" i="6"/>
  <c r="I26" i="6" s="1"/>
  <c r="H36" i="6"/>
  <c r="AF22" i="6"/>
  <c r="AD23" i="6"/>
  <c r="AE21" i="6"/>
  <c r="AC24" i="6"/>
  <c r="AK42" i="4"/>
  <c r="AL56" i="4"/>
  <c r="AM3" i="4"/>
  <c r="AK24" i="4"/>
  <c r="AL7" i="4"/>
  <c r="AK8" i="4"/>
  <c r="AM69" i="4" l="1"/>
  <c r="AN68" i="4"/>
  <c r="AO71" i="4"/>
  <c r="AO73" i="4" s="1"/>
  <c r="AO74" i="4" s="1"/>
  <c r="AP64" i="4"/>
  <c r="AE23" i="6"/>
  <c r="AF21" i="6"/>
  <c r="AD24" i="6"/>
  <c r="AG22" i="6"/>
  <c r="I36" i="6"/>
  <c r="I27" i="6"/>
  <c r="J26" i="6" s="1"/>
  <c r="AM56" i="4"/>
  <c r="AN3" i="4"/>
  <c r="AL42" i="4"/>
  <c r="AM7" i="4"/>
  <c r="AL8" i="4"/>
  <c r="AL24" i="4"/>
  <c r="AP71" i="4" l="1"/>
  <c r="AP73" i="4" s="1"/>
  <c r="AP74" i="4" s="1"/>
  <c r="AQ64" i="4"/>
  <c r="AN69" i="4"/>
  <c r="AO68" i="4"/>
  <c r="J36" i="6"/>
  <c r="J27" i="6"/>
  <c r="K26" i="6" s="1"/>
  <c r="AH22" i="6"/>
  <c r="AG21" i="6"/>
  <c r="AF23" i="6"/>
  <c r="AE24" i="6"/>
  <c r="AM24" i="4"/>
  <c r="AN7" i="4"/>
  <c r="AM8" i="4"/>
  <c r="AM42" i="4"/>
  <c r="AN56" i="4"/>
  <c r="AO3" i="4"/>
  <c r="AO69" i="4" l="1"/>
  <c r="AP68" i="4"/>
  <c r="AR64" i="4"/>
  <c r="AQ71" i="4"/>
  <c r="AQ73" i="4" s="1"/>
  <c r="AQ74" i="4" s="1"/>
  <c r="AH21" i="6"/>
  <c r="AG23" i="6"/>
  <c r="AF24" i="6"/>
  <c r="AI22" i="6"/>
  <c r="AI24" i="6" s="1"/>
  <c r="K27" i="6"/>
  <c r="L26" i="6" s="1"/>
  <c r="K36" i="6"/>
  <c r="AN24" i="4"/>
  <c r="AN42" i="4"/>
  <c r="AN8" i="4"/>
  <c r="AO7" i="4"/>
  <c r="AO56" i="4"/>
  <c r="AP3" i="4"/>
  <c r="AR71" i="4" l="1"/>
  <c r="AR73" i="4" s="1"/>
  <c r="AR74" i="4" s="1"/>
  <c r="AS64" i="4"/>
  <c r="AP69" i="4"/>
  <c r="AQ68" i="4"/>
  <c r="L27" i="6"/>
  <c r="M26" i="6" s="1"/>
  <c r="L36" i="6"/>
  <c r="AI21" i="6"/>
  <c r="AH23" i="6"/>
  <c r="AG24" i="6"/>
  <c r="AO24" i="4"/>
  <c r="AO8" i="4"/>
  <c r="AP7" i="4"/>
  <c r="AP56" i="4"/>
  <c r="AQ3" i="4"/>
  <c r="AO42" i="4"/>
  <c r="AS71" i="4" l="1"/>
  <c r="AS73" i="4" s="1"/>
  <c r="AS74" i="4" s="1"/>
  <c r="AT64" i="4"/>
  <c r="AQ69" i="4"/>
  <c r="AR68" i="4"/>
  <c r="AI23" i="6"/>
  <c r="AH24" i="6"/>
  <c r="M27" i="6"/>
  <c r="N26" i="6" s="1"/>
  <c r="M36" i="6"/>
  <c r="AQ56" i="4"/>
  <c r="AR3" i="4"/>
  <c r="AP24" i="4"/>
  <c r="AP42" i="4"/>
  <c r="AP8" i="4"/>
  <c r="AQ7" i="4"/>
  <c r="AU64" i="4" l="1"/>
  <c r="AT71" i="4"/>
  <c r="AT73" i="4" s="1"/>
  <c r="AT74" i="4" s="1"/>
  <c r="AR69" i="4"/>
  <c r="AS68" i="4"/>
  <c r="N27" i="6"/>
  <c r="O26" i="6" s="1"/>
  <c r="N36" i="6"/>
  <c r="AQ8" i="4"/>
  <c r="AR7" i="4"/>
  <c r="AQ24" i="4"/>
  <c r="AR56" i="4"/>
  <c r="AS3" i="4"/>
  <c r="AQ42" i="4"/>
  <c r="AT68" i="4" l="1"/>
  <c r="AS69" i="4"/>
  <c r="AV64" i="4"/>
  <c r="AU71" i="4"/>
  <c r="AU73" i="4" s="1"/>
  <c r="AU74" i="4" s="1"/>
  <c r="O27" i="6"/>
  <c r="P26" i="6" s="1"/>
  <c r="O36" i="6"/>
  <c r="AR42" i="4"/>
  <c r="AR8" i="4"/>
  <c r="AS7" i="4"/>
  <c r="AS56" i="4"/>
  <c r="AT3" i="4"/>
  <c r="AR24" i="4"/>
  <c r="AV71" i="4" l="1"/>
  <c r="AV73" i="4" s="1"/>
  <c r="AV74" i="4" s="1"/>
  <c r="AW64" i="4"/>
  <c r="AT69" i="4"/>
  <c r="AU68" i="4"/>
  <c r="P27" i="6"/>
  <c r="Q26" i="6" s="1"/>
  <c r="P36" i="6"/>
  <c r="AT56" i="4"/>
  <c r="AU3" i="4"/>
  <c r="AS42" i="4"/>
  <c r="AS24" i="4"/>
  <c r="AT7" i="4"/>
  <c r="AS8" i="4"/>
  <c r="AU69" i="4" l="1"/>
  <c r="AV68" i="4"/>
  <c r="AW71" i="4"/>
  <c r="AW73" i="4" s="1"/>
  <c r="AW74" i="4" s="1"/>
  <c r="AX64" i="4"/>
  <c r="Q27" i="6"/>
  <c r="R26" i="6" s="1"/>
  <c r="Q36" i="6"/>
  <c r="AU7" i="4"/>
  <c r="AT8" i="4"/>
  <c r="AT24" i="4"/>
  <c r="AT42" i="4"/>
  <c r="AU56" i="4"/>
  <c r="AV3" i="4"/>
  <c r="AX71" i="4" l="1"/>
  <c r="AX73" i="4" s="1"/>
  <c r="AX74" i="4" s="1"/>
  <c r="AY64" i="4"/>
  <c r="AW68" i="4"/>
  <c r="AV69" i="4"/>
  <c r="R36" i="6"/>
  <c r="R27" i="6"/>
  <c r="S26" i="6" s="1"/>
  <c r="AU8" i="4"/>
  <c r="AV7" i="4"/>
  <c r="AU42" i="4"/>
  <c r="AU24" i="4"/>
  <c r="AV56" i="4"/>
  <c r="AW3" i="4"/>
  <c r="AW69" i="4" l="1"/>
  <c r="AX68" i="4"/>
  <c r="AY71" i="4"/>
  <c r="AY73" i="4" s="1"/>
  <c r="AY74" i="4" s="1"/>
  <c r="AZ64" i="4"/>
  <c r="S36" i="6"/>
  <c r="S27" i="6"/>
  <c r="T26" i="6" s="1"/>
  <c r="AW56" i="4"/>
  <c r="AX3" i="4"/>
  <c r="AV24" i="4"/>
  <c r="AV42" i="4"/>
  <c r="AW7" i="4"/>
  <c r="AV8" i="4"/>
  <c r="AZ71" i="4" l="1"/>
  <c r="AZ73" i="4" s="1"/>
  <c r="AZ74" i="4" s="1"/>
  <c r="BA64" i="4"/>
  <c r="AX69" i="4"/>
  <c r="AY68" i="4"/>
  <c r="T36" i="6"/>
  <c r="T27" i="6"/>
  <c r="U26" i="6" s="1"/>
  <c r="AW42" i="4"/>
  <c r="AX56" i="4"/>
  <c r="AY3" i="4"/>
  <c r="AW24" i="4"/>
  <c r="AW8" i="4"/>
  <c r="AX7" i="4"/>
  <c r="BA71" i="4" l="1"/>
  <c r="BA73" i="4" s="1"/>
  <c r="BA74" i="4" s="1"/>
  <c r="BB64" i="4"/>
  <c r="AY69" i="4"/>
  <c r="AZ68" i="4"/>
  <c r="U27" i="6"/>
  <c r="V26" i="6" s="1"/>
  <c r="U36" i="6"/>
  <c r="AY56" i="4"/>
  <c r="AZ56" i="4" s="1"/>
  <c r="AZ3" i="4"/>
  <c r="BA3" i="4" s="1"/>
  <c r="BB3" i="4" s="1"/>
  <c r="BC3" i="4" s="1"/>
  <c r="BD3" i="4" s="1"/>
  <c r="BE3" i="4" s="1"/>
  <c r="BF3" i="4" s="1"/>
  <c r="BG3" i="4" s="1"/>
  <c r="BH3" i="4" s="1"/>
  <c r="BI3" i="4" s="1"/>
  <c r="AX24" i="4"/>
  <c r="AX42" i="4"/>
  <c r="AX8" i="4"/>
  <c r="K16" i="4" s="1"/>
  <c r="AY7" i="4"/>
  <c r="AZ69" i="4" l="1"/>
  <c r="BA68" i="4"/>
  <c r="BC64" i="4"/>
  <c r="BB71" i="4"/>
  <c r="BB73" i="4" s="1"/>
  <c r="BB74" i="4" s="1"/>
  <c r="V27" i="6"/>
  <c r="W26" i="6" s="1"/>
  <c r="V36" i="6"/>
  <c r="AY42" i="4"/>
  <c r="AY24" i="4"/>
  <c r="AY8" i="4"/>
  <c r="AZ7" i="4"/>
  <c r="BB68" i="4" l="1"/>
  <c r="BA69" i="4"/>
  <c r="BC71" i="4"/>
  <c r="BC73" i="4" s="1"/>
  <c r="BC74" i="4" s="1"/>
  <c r="BD64" i="4"/>
  <c r="W27" i="6"/>
  <c r="X26" i="6" s="1"/>
  <c r="W36" i="6"/>
  <c r="AZ8" i="4"/>
  <c r="BA7" i="4"/>
  <c r="AZ24" i="4"/>
  <c r="AZ42" i="4"/>
  <c r="L20" i="4" l="1"/>
  <c r="BD71" i="4"/>
  <c r="BD73" i="4" s="1"/>
  <c r="BD74" i="4" s="1"/>
  <c r="BE64" i="4"/>
  <c r="BB69" i="4"/>
  <c r="BC68" i="4"/>
  <c r="X27" i="6"/>
  <c r="Y26" i="6" s="1"/>
  <c r="X36" i="6"/>
  <c r="BA42" i="4"/>
  <c r="BA24" i="4"/>
  <c r="BB7" i="4"/>
  <c r="BA8" i="4"/>
  <c r="M20" i="4" l="1"/>
  <c r="L25" i="4"/>
  <c r="L27" i="4"/>
  <c r="BE71" i="4"/>
  <c r="BE73" i="4" s="1"/>
  <c r="BE74" i="4" s="1"/>
  <c r="BF64" i="4"/>
  <c r="BC69" i="4"/>
  <c r="BD68" i="4"/>
  <c r="Y36" i="6"/>
  <c r="Y27" i="6"/>
  <c r="Z26" i="6" s="1"/>
  <c r="Z27" i="6" s="1"/>
  <c r="AA26" i="6" s="1"/>
  <c r="AA27" i="6" s="1"/>
  <c r="AB26" i="6" s="1"/>
  <c r="AB27" i="6" s="1"/>
  <c r="AC26" i="6" s="1"/>
  <c r="AC27" i="6" s="1"/>
  <c r="AD26" i="6" s="1"/>
  <c r="AD27" i="6" s="1"/>
  <c r="AE26" i="6" s="1"/>
  <c r="AE27" i="6" s="1"/>
  <c r="AF26" i="6" s="1"/>
  <c r="AF27" i="6" s="1"/>
  <c r="AG26" i="6" s="1"/>
  <c r="AG27" i="6" s="1"/>
  <c r="AH26" i="6" s="1"/>
  <c r="AH27" i="6" s="1"/>
  <c r="AI26" i="6" s="1"/>
  <c r="AI27" i="6" s="1"/>
  <c r="BB24" i="4"/>
  <c r="BC7" i="4"/>
  <c r="BB8" i="4"/>
  <c r="BB42" i="4"/>
  <c r="N20" i="4" l="1"/>
  <c r="M25" i="4"/>
  <c r="M27" i="4"/>
  <c r="BF71" i="4"/>
  <c r="BF73" i="4" s="1"/>
  <c r="BF74" i="4" s="1"/>
  <c r="BG64" i="4"/>
  <c r="BD69" i="4"/>
  <c r="BE68" i="4"/>
  <c r="BC8" i="4"/>
  <c r="BD7" i="4"/>
  <c r="BC42" i="4"/>
  <c r="BC24" i="4"/>
  <c r="N27" i="4" l="1"/>
  <c r="O20" i="4"/>
  <c r="N25" i="4"/>
  <c r="BH64" i="4"/>
  <c r="BG71" i="4"/>
  <c r="BG73" i="4" s="1"/>
  <c r="BG74" i="4" s="1"/>
  <c r="BE69" i="4"/>
  <c r="K75" i="4" s="1"/>
  <c r="BF68" i="4"/>
  <c r="BD24" i="4"/>
  <c r="BD8" i="4"/>
  <c r="BE7" i="4"/>
  <c r="BD42" i="4"/>
  <c r="O27" i="4" l="1"/>
  <c r="O25" i="4"/>
  <c r="P20" i="4"/>
  <c r="K81" i="4"/>
  <c r="M74" i="4"/>
  <c r="N74" i="4" s="1"/>
  <c r="BF69" i="4"/>
  <c r="BG68" i="4"/>
  <c r="BH71" i="4"/>
  <c r="BH73" i="4" s="1"/>
  <c r="BH74" i="4" s="1"/>
  <c r="BI64" i="4"/>
  <c r="BE42" i="4"/>
  <c r="BE24" i="4"/>
  <c r="BE8" i="4"/>
  <c r="BF7" i="4"/>
  <c r="P27" i="4" l="1"/>
  <c r="P25" i="4"/>
  <c r="Q20" i="4"/>
  <c r="F32" i="1"/>
  <c r="K83" i="4"/>
  <c r="BI71" i="4"/>
  <c r="BI73" i="4" s="1"/>
  <c r="BI74" i="4" s="1"/>
  <c r="BG69" i="4"/>
  <c r="BH68" i="4"/>
  <c r="BF42" i="4"/>
  <c r="BF8" i="4"/>
  <c r="BG7" i="4"/>
  <c r="BF24" i="4"/>
  <c r="Q25" i="4" l="1"/>
  <c r="R20" i="4"/>
  <c r="Q27" i="4"/>
  <c r="K118" i="4"/>
  <c r="K85" i="4"/>
  <c r="K86" i="4"/>
  <c r="L81" i="4"/>
  <c r="L83" i="4" s="1"/>
  <c r="BH69" i="4"/>
  <c r="BI68" i="4"/>
  <c r="BG24" i="4"/>
  <c r="BG8" i="4"/>
  <c r="BH7" i="4"/>
  <c r="BG42" i="4"/>
  <c r="R25" i="4" l="1"/>
  <c r="R27" i="4"/>
  <c r="S20" i="4"/>
  <c r="K88" i="4"/>
  <c r="B97" i="1"/>
  <c r="B1" i="1" s="1"/>
  <c r="F3" i="1" s="1"/>
  <c r="A3" i="1" s="1"/>
  <c r="L85" i="4"/>
  <c r="L86" i="4"/>
  <c r="M81" i="4"/>
  <c r="M83" i="4" s="1"/>
  <c r="K129" i="4"/>
  <c r="K131" i="4" s="1"/>
  <c r="K125" i="4"/>
  <c r="K120" i="4"/>
  <c r="BI69" i="4"/>
  <c r="BH42" i="4"/>
  <c r="BH8" i="4"/>
  <c r="BI7" i="4"/>
  <c r="BH24" i="4"/>
  <c r="R29" i="4" l="1"/>
  <c r="R30" i="4" s="1"/>
  <c r="R32" i="4"/>
  <c r="R33" i="4" s="1"/>
  <c r="S25" i="4"/>
  <c r="T20" i="4"/>
  <c r="S27" i="4"/>
  <c r="L88" i="4"/>
  <c r="C97" i="1"/>
  <c r="C1" i="1" s="1"/>
  <c r="F4" i="1" s="1"/>
  <c r="A4" i="1" s="1"/>
  <c r="K122" i="4"/>
  <c r="K149" i="4" s="1"/>
  <c r="L118" i="4"/>
  <c r="L120" i="4" s="1"/>
  <c r="K123" i="4"/>
  <c r="K134" i="4"/>
  <c r="L129" i="4"/>
  <c r="L131" i="4" s="1"/>
  <c r="K133" i="4"/>
  <c r="L125" i="4"/>
  <c r="M125" i="4" s="1"/>
  <c r="N125" i="4" s="1"/>
  <c r="O125" i="4" s="1"/>
  <c r="P125" i="4" s="1"/>
  <c r="Q125" i="4" s="1"/>
  <c r="R125" i="4" s="1"/>
  <c r="S125" i="4" s="1"/>
  <c r="T125" i="4" s="1"/>
  <c r="U125" i="4" s="1"/>
  <c r="V125" i="4" s="1"/>
  <c r="W125" i="4" s="1"/>
  <c r="X125" i="4" s="1"/>
  <c r="Y125" i="4" s="1"/>
  <c r="Z125" i="4" s="1"/>
  <c r="AA125" i="4" s="1"/>
  <c r="AB125" i="4" s="1"/>
  <c r="AC125" i="4" s="1"/>
  <c r="AD125" i="4" s="1"/>
  <c r="K151" i="4"/>
  <c r="K199" i="4" s="1"/>
  <c r="M86" i="4"/>
  <c r="N81" i="4"/>
  <c r="N83" i="4" s="1"/>
  <c r="M85" i="4"/>
  <c r="BI8" i="4"/>
  <c r="BI24" i="4"/>
  <c r="BI42" i="4"/>
  <c r="S32" i="4" l="1"/>
  <c r="S33" i="4" s="1"/>
  <c r="S29" i="4"/>
  <c r="S30" i="4" s="1"/>
  <c r="T25" i="4"/>
  <c r="U20" i="4"/>
  <c r="T27" i="4"/>
  <c r="M88" i="4"/>
  <c r="D97" i="1"/>
  <c r="D1" i="1" s="1"/>
  <c r="F5" i="1" s="1"/>
  <c r="A5" i="1" s="1"/>
  <c r="K195" i="4"/>
  <c r="K194" i="4"/>
  <c r="K196" i="4" s="1"/>
  <c r="K142" i="4"/>
  <c r="K152" i="4"/>
  <c r="K136" i="4"/>
  <c r="L122" i="4"/>
  <c r="L149" i="4" s="1"/>
  <c r="L123" i="4"/>
  <c r="M118" i="4"/>
  <c r="M120" i="4" s="1"/>
  <c r="L133" i="4"/>
  <c r="L134" i="4"/>
  <c r="M129" i="4"/>
  <c r="M131" i="4" s="1"/>
  <c r="N85" i="4"/>
  <c r="N86" i="4"/>
  <c r="O81" i="4"/>
  <c r="O83" i="4" s="1"/>
  <c r="U25" i="4" l="1"/>
  <c r="V20" i="4"/>
  <c r="U27" i="4"/>
  <c r="T29" i="4"/>
  <c r="T30" i="4" s="1"/>
  <c r="T32" i="4"/>
  <c r="T33" i="4" s="1"/>
  <c r="N88" i="4"/>
  <c r="E97" i="1"/>
  <c r="E1" i="1" s="1"/>
  <c r="F6" i="1" s="1"/>
  <c r="A6" i="1" s="1"/>
  <c r="P81" i="4"/>
  <c r="P83" i="4" s="1"/>
  <c r="O86" i="4"/>
  <c r="O85" i="4"/>
  <c r="M134" i="4"/>
  <c r="M133" i="4"/>
  <c r="N129" i="4"/>
  <c r="N131" i="4" s="1"/>
  <c r="L142" i="4"/>
  <c r="L152" i="4"/>
  <c r="L136" i="4"/>
  <c r="N118" i="4"/>
  <c r="N120" i="4" s="1"/>
  <c r="M122" i="4"/>
  <c r="M149" i="4" s="1"/>
  <c r="M123" i="4"/>
  <c r="V27" i="4" l="1"/>
  <c r="W20" i="4"/>
  <c r="V25" i="4"/>
  <c r="U29" i="4"/>
  <c r="U30" i="4" s="1"/>
  <c r="U32" i="4"/>
  <c r="U33" i="4" s="1"/>
  <c r="O88" i="4"/>
  <c r="F97" i="1"/>
  <c r="F1" i="1" s="1"/>
  <c r="F7" i="1" s="1"/>
  <c r="A7" i="1" s="1"/>
  <c r="N134" i="4"/>
  <c r="O129" i="4"/>
  <c r="O131" i="4" s="1"/>
  <c r="N133" i="4"/>
  <c r="M136" i="4"/>
  <c r="M142" i="4"/>
  <c r="M152" i="4"/>
  <c r="N123" i="4"/>
  <c r="O118" i="4"/>
  <c r="O120" i="4" s="1"/>
  <c r="N122" i="4"/>
  <c r="N149" i="4" s="1"/>
  <c r="Q81" i="4"/>
  <c r="Q83" i="4" s="1"/>
  <c r="P85" i="4"/>
  <c r="P86" i="4"/>
  <c r="W27" i="4" l="1"/>
  <c r="X20" i="4"/>
  <c r="W25" i="4"/>
  <c r="V32" i="4"/>
  <c r="V33" i="4" s="1"/>
  <c r="V29" i="4"/>
  <c r="V30" i="4" s="1"/>
  <c r="P88" i="4"/>
  <c r="G97" i="1"/>
  <c r="G1" i="1" s="1"/>
  <c r="F8" i="1" s="1"/>
  <c r="A8" i="1" s="1"/>
  <c r="O123" i="4"/>
  <c r="O122" i="4"/>
  <c r="O149" i="4" s="1"/>
  <c r="P118" i="4"/>
  <c r="P120" i="4" s="1"/>
  <c r="P129" i="4"/>
  <c r="P131" i="4" s="1"/>
  <c r="O133" i="4"/>
  <c r="O134" i="4"/>
  <c r="N152" i="4"/>
  <c r="N142" i="4"/>
  <c r="N136" i="4"/>
  <c r="R81" i="4"/>
  <c r="R83" i="4" s="1"/>
  <c r="Q85" i="4"/>
  <c r="Q86" i="4"/>
  <c r="X27" i="4" l="1"/>
  <c r="X25" i="4"/>
  <c r="Y20" i="4"/>
  <c r="W32" i="4"/>
  <c r="W33" i="4" s="1"/>
  <c r="W29" i="4"/>
  <c r="W30" i="4" s="1"/>
  <c r="Q88" i="4"/>
  <c r="H97" i="1"/>
  <c r="H1" i="1" s="1"/>
  <c r="F9" i="1" s="1"/>
  <c r="A9" i="1" s="1"/>
  <c r="P134" i="4"/>
  <c r="P133" i="4"/>
  <c r="Q129" i="4"/>
  <c r="Q131" i="4" s="1"/>
  <c r="R129" i="4" s="1"/>
  <c r="O142" i="4"/>
  <c r="O152" i="4"/>
  <c r="O136" i="4"/>
  <c r="Q118" i="4"/>
  <c r="Q120" i="4" s="1"/>
  <c r="P123" i="4"/>
  <c r="P122" i="4"/>
  <c r="P149" i="4" s="1"/>
  <c r="R85" i="4"/>
  <c r="S81" i="4"/>
  <c r="S83" i="4" s="1"/>
  <c r="R86" i="4"/>
  <c r="Y25" i="4" l="1"/>
  <c r="Z20" i="4"/>
  <c r="Y27" i="4"/>
  <c r="X29" i="4"/>
  <c r="X30" i="4" s="1"/>
  <c r="X32" i="4"/>
  <c r="X33" i="4" s="1"/>
  <c r="R88" i="4"/>
  <c r="I97" i="1"/>
  <c r="I1" i="1" s="1"/>
  <c r="F10" i="1" s="1"/>
  <c r="A10" i="1" s="1"/>
  <c r="Q134" i="4"/>
  <c r="Q133" i="4"/>
  <c r="Q136" i="4" s="1"/>
  <c r="Q122" i="4"/>
  <c r="Q149" i="4" s="1"/>
  <c r="R118" i="4"/>
  <c r="R120" i="4" s="1"/>
  <c r="Q123" i="4"/>
  <c r="P152" i="4"/>
  <c r="P142" i="4"/>
  <c r="P136" i="4"/>
  <c r="S86" i="4"/>
  <c r="S85" i="4"/>
  <c r="T81" i="4"/>
  <c r="T83" i="4" s="1"/>
  <c r="R131" i="4"/>
  <c r="Y29" i="4" l="1"/>
  <c r="Y30" i="4" s="1"/>
  <c r="Y32" i="4"/>
  <c r="Y33" i="4" s="1"/>
  <c r="AA20" i="4"/>
  <c r="Z27" i="4"/>
  <c r="Z25" i="4"/>
  <c r="Q142" i="4"/>
  <c r="Q152" i="4"/>
  <c r="S88" i="4"/>
  <c r="J97" i="1"/>
  <c r="J1" i="1" s="1"/>
  <c r="F11" i="1" s="1"/>
  <c r="A11" i="1" s="1"/>
  <c r="S118" i="4"/>
  <c r="S120" i="4" s="1"/>
  <c r="R123" i="4"/>
  <c r="R122" i="4"/>
  <c r="R149" i="4" s="1"/>
  <c r="T86" i="4"/>
  <c r="T85" i="4"/>
  <c r="U81" i="4"/>
  <c r="U83" i="4" s="1"/>
  <c r="R133" i="4"/>
  <c r="R134" i="4"/>
  <c r="S129" i="4"/>
  <c r="Z29" i="4" l="1"/>
  <c r="Z30" i="4" s="1"/>
  <c r="Z32" i="4"/>
  <c r="Z33" i="4" s="1"/>
  <c r="AA25" i="4"/>
  <c r="AB20" i="4"/>
  <c r="AA27" i="4"/>
  <c r="T88" i="4"/>
  <c r="K97" i="1"/>
  <c r="K1" i="1" s="1"/>
  <c r="F12" i="1" s="1"/>
  <c r="A12" i="1" s="1"/>
  <c r="V81" i="4"/>
  <c r="V83" i="4" s="1"/>
  <c r="U85" i="4"/>
  <c r="U86" i="4"/>
  <c r="S123" i="4"/>
  <c r="S122" i="4"/>
  <c r="S149" i="4" s="1"/>
  <c r="T118" i="4"/>
  <c r="T120" i="4" s="1"/>
  <c r="R152" i="4"/>
  <c r="R142" i="4"/>
  <c r="R136" i="4"/>
  <c r="S131" i="4"/>
  <c r="AB27" i="4" l="1"/>
  <c r="AC20" i="4"/>
  <c r="AB25" i="4"/>
  <c r="AA32" i="4"/>
  <c r="AA33" i="4" s="1"/>
  <c r="AA29" i="4"/>
  <c r="AA30" i="4" s="1"/>
  <c r="U88" i="4"/>
  <c r="L97" i="1"/>
  <c r="L1" i="1" s="1"/>
  <c r="F13" i="1" s="1"/>
  <c r="A13" i="1" s="1"/>
  <c r="U118" i="4"/>
  <c r="U120" i="4" s="1"/>
  <c r="T122" i="4"/>
  <c r="T149" i="4" s="1"/>
  <c r="T123" i="4"/>
  <c r="W81" i="4"/>
  <c r="W83" i="4" s="1"/>
  <c r="V86" i="4"/>
  <c r="V85" i="4"/>
  <c r="T129" i="4"/>
  <c r="S134" i="4"/>
  <c r="S133" i="4"/>
  <c r="AC27" i="4" l="1"/>
  <c r="AD20" i="4"/>
  <c r="AC25" i="4"/>
  <c r="AB29" i="4"/>
  <c r="AB30" i="4" s="1"/>
  <c r="AB32" i="4"/>
  <c r="AB33" i="4" s="1"/>
  <c r="V88" i="4"/>
  <c r="M97" i="1"/>
  <c r="M1" i="1" s="1"/>
  <c r="F14" i="1" s="1"/>
  <c r="A14" i="1" s="1"/>
  <c r="X81" i="4"/>
  <c r="X83" i="4" s="1"/>
  <c r="W86" i="4"/>
  <c r="W85" i="4"/>
  <c r="V118" i="4"/>
  <c r="V120" i="4" s="1"/>
  <c r="U122" i="4"/>
  <c r="U149" i="4" s="1"/>
  <c r="U123" i="4"/>
  <c r="S142" i="4"/>
  <c r="S152" i="4"/>
  <c r="S136" i="4"/>
  <c r="T131" i="4"/>
  <c r="AD27" i="4" l="1"/>
  <c r="AE20" i="4"/>
  <c r="AD25" i="4"/>
  <c r="AC29" i="4"/>
  <c r="AC30" i="4" s="1"/>
  <c r="AC32" i="4"/>
  <c r="AC33" i="4" s="1"/>
  <c r="W88" i="4"/>
  <c r="N97" i="1"/>
  <c r="N1" i="1" s="1"/>
  <c r="W118" i="4"/>
  <c r="W120" i="4" s="1"/>
  <c r="V122" i="4"/>
  <c r="V149" i="4" s="1"/>
  <c r="V123" i="4"/>
  <c r="X86" i="4"/>
  <c r="X85" i="4"/>
  <c r="Y81" i="4"/>
  <c r="Y83" i="4" s="1"/>
  <c r="U129" i="4"/>
  <c r="T133" i="4"/>
  <c r="T134" i="4"/>
  <c r="AE27" i="4" l="1"/>
  <c r="AE25" i="4"/>
  <c r="AF20" i="4"/>
  <c r="AD32" i="4"/>
  <c r="AD33" i="4" s="1"/>
  <c r="AD29" i="4"/>
  <c r="AD30" i="4" s="1"/>
  <c r="X88" i="4"/>
  <c r="O97" i="1"/>
  <c r="O1" i="1" s="1"/>
  <c r="Y86" i="4"/>
  <c r="Z81" i="4"/>
  <c r="Z83" i="4" s="1"/>
  <c r="Y85" i="4"/>
  <c r="X118" i="4"/>
  <c r="X120" i="4" s="1"/>
  <c r="W122" i="4"/>
  <c r="W149" i="4" s="1"/>
  <c r="W123" i="4"/>
  <c r="T152" i="4"/>
  <c r="T142" i="4"/>
  <c r="U131" i="4"/>
  <c r="T136" i="4"/>
  <c r="AF25" i="4" l="1"/>
  <c r="AG20" i="4"/>
  <c r="AF27" i="4"/>
  <c r="AE29" i="4"/>
  <c r="AE30" i="4" s="1"/>
  <c r="AE32" i="4"/>
  <c r="AE33" i="4" s="1"/>
  <c r="Y88" i="4"/>
  <c r="P97" i="1"/>
  <c r="P1" i="1" s="1"/>
  <c r="Z86" i="4"/>
  <c r="Z85" i="4"/>
  <c r="AA81" i="4"/>
  <c r="AA83" i="4" s="1"/>
  <c r="X122" i="4"/>
  <c r="X149" i="4" s="1"/>
  <c r="X123" i="4"/>
  <c r="Y118" i="4"/>
  <c r="Y120" i="4" s="1"/>
  <c r="V129" i="4"/>
  <c r="U133" i="4"/>
  <c r="U134" i="4"/>
  <c r="AG27" i="4" l="1"/>
  <c r="AG25" i="4"/>
  <c r="AH20" i="4"/>
  <c r="AF32" i="4"/>
  <c r="AF33" i="4" s="1"/>
  <c r="AF29" i="4"/>
  <c r="AF30" i="4" s="1"/>
  <c r="Z88" i="4"/>
  <c r="Q97" i="1"/>
  <c r="Q1" i="1" s="1"/>
  <c r="Z118" i="4"/>
  <c r="Z120" i="4" s="1"/>
  <c r="Y123" i="4"/>
  <c r="Y122" i="4"/>
  <c r="Y149" i="4" s="1"/>
  <c r="AB81" i="4"/>
  <c r="AB83" i="4" s="1"/>
  <c r="AA85" i="4"/>
  <c r="AA86" i="4"/>
  <c r="U152" i="4"/>
  <c r="U142" i="4"/>
  <c r="U136" i="4"/>
  <c r="V131" i="4"/>
  <c r="AH27" i="4" l="1"/>
  <c r="AH25" i="4"/>
  <c r="AI20" i="4"/>
  <c r="AG32" i="4"/>
  <c r="AG33" i="4" s="1"/>
  <c r="AG29" i="4"/>
  <c r="AG30" i="4" s="1"/>
  <c r="AA88" i="4"/>
  <c r="R97" i="1"/>
  <c r="R1" i="1" s="1"/>
  <c r="AB86" i="4"/>
  <c r="AB85" i="4"/>
  <c r="AC81" i="4"/>
  <c r="AC83" i="4" s="1"/>
  <c r="Z122" i="4"/>
  <c r="Z149" i="4" s="1"/>
  <c r="AA118" i="4"/>
  <c r="AA120" i="4" s="1"/>
  <c r="Z123" i="4"/>
  <c r="W129" i="4"/>
  <c r="V134" i="4"/>
  <c r="V133" i="4"/>
  <c r="AJ20" i="4" l="1"/>
  <c r="AI25" i="4"/>
  <c r="AI27" i="4"/>
  <c r="AH32" i="4"/>
  <c r="AH33" i="4" s="1"/>
  <c r="AH29" i="4"/>
  <c r="AH30" i="4" s="1"/>
  <c r="AB88" i="4"/>
  <c r="S97" i="1"/>
  <c r="S1" i="1" s="1"/>
  <c r="AA122" i="4"/>
  <c r="AA149" i="4" s="1"/>
  <c r="AB118" i="4"/>
  <c r="AB120" i="4" s="1"/>
  <c r="AA123" i="4"/>
  <c r="AC85" i="4"/>
  <c r="AC86" i="4"/>
  <c r="AD81" i="4"/>
  <c r="AD83" i="4" s="1"/>
  <c r="V152" i="4"/>
  <c r="V142" i="4"/>
  <c r="V136" i="4"/>
  <c r="W131" i="4"/>
  <c r="AI32" i="4" l="1"/>
  <c r="AI33" i="4" s="1"/>
  <c r="AI29" i="4"/>
  <c r="AI30" i="4" s="1"/>
  <c r="AJ25" i="4"/>
  <c r="AK20" i="4"/>
  <c r="AJ27" i="4"/>
  <c r="AC88" i="4"/>
  <c r="T97" i="1"/>
  <c r="T1" i="1" s="1"/>
  <c r="AD85" i="4"/>
  <c r="AD86" i="4"/>
  <c r="AB123" i="4"/>
  <c r="AB122" i="4"/>
  <c r="AB149" i="4" s="1"/>
  <c r="AC118" i="4"/>
  <c r="AC120" i="4" s="1"/>
  <c r="W133" i="4"/>
  <c r="W134" i="4"/>
  <c r="X129" i="4"/>
  <c r="AJ32" i="4" l="1"/>
  <c r="AJ33" i="4" s="1"/>
  <c r="AJ29" i="4"/>
  <c r="AJ30" i="4" s="1"/>
  <c r="AL20" i="4"/>
  <c r="AK27" i="4"/>
  <c r="AK25" i="4"/>
  <c r="AD88" i="4"/>
  <c r="J88" i="4" s="1"/>
  <c r="F31" i="1" s="1"/>
  <c r="U97" i="1"/>
  <c r="AD118" i="4"/>
  <c r="AD120" i="4" s="1"/>
  <c r="AC123" i="4"/>
  <c r="AC122" i="4"/>
  <c r="AC149" i="4" s="1"/>
  <c r="W142" i="4"/>
  <c r="W152" i="4"/>
  <c r="X131" i="4"/>
  <c r="W136" i="4"/>
  <c r="AL25" i="4" l="1"/>
  <c r="AL27" i="4"/>
  <c r="AM20" i="4"/>
  <c r="AK29" i="4"/>
  <c r="AK30" i="4" s="1"/>
  <c r="AK32" i="4"/>
  <c r="AK33" i="4" s="1"/>
  <c r="K30" i="4" s="1"/>
  <c r="AD123" i="4"/>
  <c r="AD122" i="4"/>
  <c r="AD149" i="4" s="1"/>
  <c r="Y129" i="4"/>
  <c r="X133" i="4"/>
  <c r="X134" i="4"/>
  <c r="AN20" i="4" l="1"/>
  <c r="AM27" i="4"/>
  <c r="AM25" i="4"/>
  <c r="AL29" i="4"/>
  <c r="AL30" i="4" s="1"/>
  <c r="AL32" i="4"/>
  <c r="AL33" i="4" s="1"/>
  <c r="X142" i="4"/>
  <c r="X152" i="4"/>
  <c r="X136" i="4"/>
  <c r="Y131" i="4"/>
  <c r="AM29" i="4" l="1"/>
  <c r="AM30" i="4" s="1"/>
  <c r="AM32" i="4"/>
  <c r="AM33" i="4" s="1"/>
  <c r="AN27" i="4"/>
  <c r="AN25" i="4"/>
  <c r="AO20" i="4"/>
  <c r="Z129" i="4"/>
  <c r="Y134" i="4"/>
  <c r="Y133" i="4"/>
  <c r="C31" i="1"/>
  <c r="F33" i="1" s="1"/>
  <c r="AO25" i="4" l="1"/>
  <c r="AP20" i="4"/>
  <c r="AO27" i="4"/>
  <c r="AN29" i="4"/>
  <c r="AN30" i="4" s="1"/>
  <c r="AN32" i="4"/>
  <c r="AN33" i="4" s="1"/>
  <c r="Y152" i="4"/>
  <c r="Y142" i="4"/>
  <c r="Y136" i="4"/>
  <c r="Z131" i="4"/>
  <c r="L38" i="4"/>
  <c r="M57" i="4" s="1"/>
  <c r="AQ20" i="4" l="1"/>
  <c r="AP27" i="4"/>
  <c r="AP25" i="4"/>
  <c r="AO32" i="4"/>
  <c r="AO33" i="4" s="1"/>
  <c r="AO29" i="4"/>
  <c r="AO30" i="4" s="1"/>
  <c r="Z134" i="4"/>
  <c r="AA129" i="4"/>
  <c r="Z133" i="4"/>
  <c r="L43" i="4"/>
  <c r="M38" i="4"/>
  <c r="N38" i="4" s="1"/>
  <c r="L45" i="4"/>
  <c r="AP32" i="4" l="1"/>
  <c r="AP33" i="4" s="1"/>
  <c r="AP29" i="4"/>
  <c r="AP30" i="4" s="1"/>
  <c r="AR20" i="4"/>
  <c r="AQ25" i="4"/>
  <c r="AQ27" i="4"/>
  <c r="Z152" i="4"/>
  <c r="Z142" i="4"/>
  <c r="Z136" i="4"/>
  <c r="AA131" i="4"/>
  <c r="M43" i="4"/>
  <c r="N43" i="4" s="1"/>
  <c r="N57" i="4"/>
  <c r="M45" i="4"/>
  <c r="N45" i="4" s="1"/>
  <c r="O38" i="4"/>
  <c r="O57" i="4"/>
  <c r="AQ32" i="4" l="1"/>
  <c r="AQ33" i="4" s="1"/>
  <c r="AQ29" i="4"/>
  <c r="AQ30" i="4" s="1"/>
  <c r="AS20" i="4"/>
  <c r="AR27" i="4"/>
  <c r="AR25" i="4"/>
  <c r="AA133" i="4"/>
  <c r="AA134" i="4"/>
  <c r="AB129" i="4"/>
  <c r="P38" i="4"/>
  <c r="O45" i="4"/>
  <c r="O43" i="4"/>
  <c r="P57" i="4"/>
  <c r="AR32" i="4" l="1"/>
  <c r="AR33" i="4" s="1"/>
  <c r="AR29" i="4"/>
  <c r="AR30" i="4" s="1"/>
  <c r="AS25" i="4"/>
  <c r="AS27" i="4"/>
  <c r="AT20" i="4"/>
  <c r="AA152" i="4"/>
  <c r="AA142" i="4"/>
  <c r="AA136" i="4"/>
  <c r="AB131" i="4"/>
  <c r="P43" i="4"/>
  <c r="P45" i="4"/>
  <c r="Q57" i="4"/>
  <c r="Q38" i="4"/>
  <c r="AT27" i="4" l="1"/>
  <c r="AT25" i="4"/>
  <c r="AU20" i="4"/>
  <c r="AS32" i="4"/>
  <c r="AS33" i="4" s="1"/>
  <c r="AS29" i="4"/>
  <c r="AS30" i="4" s="1"/>
  <c r="AB134" i="4"/>
  <c r="AC129" i="4"/>
  <c r="AB133" i="4"/>
  <c r="Q45" i="4"/>
  <c r="R57" i="4"/>
  <c r="Q43" i="4"/>
  <c r="R38" i="4"/>
  <c r="AU27" i="4" l="1"/>
  <c r="AV20" i="4"/>
  <c r="AU25" i="4"/>
  <c r="AT29" i="4"/>
  <c r="AT30" i="4" s="1"/>
  <c r="AT32" i="4"/>
  <c r="AT33" i="4" s="1"/>
  <c r="AB152" i="4"/>
  <c r="AB142" i="4"/>
  <c r="AB136" i="4"/>
  <c r="AC131" i="4"/>
  <c r="S57" i="4"/>
  <c r="R45" i="4"/>
  <c r="S38" i="4"/>
  <c r="R43" i="4"/>
  <c r="AV27" i="4" l="1"/>
  <c r="AV25" i="4"/>
  <c r="AW20" i="4"/>
  <c r="AU29" i="4"/>
  <c r="AU30" i="4" s="1"/>
  <c r="AU32" i="4"/>
  <c r="AU33" i="4" s="1"/>
  <c r="AD129" i="4"/>
  <c r="AC134" i="4"/>
  <c r="AC133" i="4"/>
  <c r="T57" i="4"/>
  <c r="T38" i="4"/>
  <c r="S45" i="4"/>
  <c r="S43" i="4"/>
  <c r="AW27" i="4" l="1"/>
  <c r="AW25" i="4"/>
  <c r="AX20" i="4"/>
  <c r="AV32" i="4"/>
  <c r="AV33" i="4" s="1"/>
  <c r="AV29" i="4"/>
  <c r="AV30" i="4" s="1"/>
  <c r="AC142" i="4"/>
  <c r="AC152" i="4"/>
  <c r="AD131" i="4"/>
  <c r="AC136" i="4"/>
  <c r="U57" i="4"/>
  <c r="T45" i="4"/>
  <c r="U38" i="4"/>
  <c r="T43" i="4"/>
  <c r="AX27" i="4" l="1"/>
  <c r="AY20" i="4"/>
  <c r="AX25" i="4"/>
  <c r="AW29" i="4"/>
  <c r="AW30" i="4" s="1"/>
  <c r="AW32" i="4"/>
  <c r="AW33" i="4" s="1"/>
  <c r="AD134" i="4"/>
  <c r="AD133" i="4"/>
  <c r="U45" i="4"/>
  <c r="V57" i="4"/>
  <c r="U43" i="4"/>
  <c r="V38" i="4"/>
  <c r="AY27" i="4" l="1"/>
  <c r="AZ20" i="4"/>
  <c r="AY25" i="4"/>
  <c r="AX29" i="4"/>
  <c r="AX30" i="4" s="1"/>
  <c r="AX32" i="4"/>
  <c r="AX33" i="4" s="1"/>
  <c r="AD142" i="4"/>
  <c r="AD152" i="4"/>
  <c r="AD136" i="4"/>
  <c r="I136" i="4"/>
  <c r="W57" i="4"/>
  <c r="V43" i="4"/>
  <c r="V45" i="4"/>
  <c r="W38" i="4"/>
  <c r="AZ27" i="4" l="1"/>
  <c r="AZ25" i="4"/>
  <c r="BA20" i="4"/>
  <c r="AY32" i="4"/>
  <c r="AY33" i="4" s="1"/>
  <c r="AY29" i="4"/>
  <c r="AY30" i="4" s="1"/>
  <c r="J136" i="4"/>
  <c r="K138" i="4" s="1"/>
  <c r="L138" i="4" s="1"/>
  <c r="M138" i="4" s="1"/>
  <c r="N138" i="4" s="1"/>
  <c r="O138" i="4" s="1"/>
  <c r="P138" i="4" s="1"/>
  <c r="Q138" i="4" s="1"/>
  <c r="R138" i="4" s="1"/>
  <c r="S138" i="4" s="1"/>
  <c r="X57" i="4"/>
  <c r="W43" i="4"/>
  <c r="X38" i="4"/>
  <c r="W45" i="4"/>
  <c r="BB20" i="4" l="1"/>
  <c r="BA25" i="4"/>
  <c r="BA27" i="4"/>
  <c r="AZ32" i="4"/>
  <c r="AZ33" i="4" s="1"/>
  <c r="AZ29" i="4"/>
  <c r="AZ30" i="4" s="1"/>
  <c r="P139" i="4"/>
  <c r="P151" i="4" s="1"/>
  <c r="P143" i="4"/>
  <c r="P147" i="4" s="1"/>
  <c r="P140" i="4"/>
  <c r="M139" i="4"/>
  <c r="M151" i="4" s="1"/>
  <c r="M143" i="4"/>
  <c r="M147" i="4" s="1"/>
  <c r="M140" i="4"/>
  <c r="Q139" i="4"/>
  <c r="Q151" i="4" s="1"/>
  <c r="Q140" i="4"/>
  <c r="Q143" i="4"/>
  <c r="Q147" i="4" s="1"/>
  <c r="O139" i="4"/>
  <c r="O151" i="4" s="1"/>
  <c r="O140" i="4"/>
  <c r="O143" i="4"/>
  <c r="O147" i="4" s="1"/>
  <c r="L139" i="4"/>
  <c r="L151" i="4" s="1"/>
  <c r="L140" i="4"/>
  <c r="L143" i="4"/>
  <c r="L147" i="4" s="1"/>
  <c r="R139" i="4"/>
  <c r="R151" i="4" s="1"/>
  <c r="R143" i="4"/>
  <c r="R147" i="4" s="1"/>
  <c r="R140" i="4"/>
  <c r="N139" i="4"/>
  <c r="N151" i="4" s="1"/>
  <c r="N140" i="4"/>
  <c r="N143" i="4"/>
  <c r="N147" i="4" s="1"/>
  <c r="K139" i="4"/>
  <c r="K140" i="4"/>
  <c r="K143" i="4"/>
  <c r="K147" i="4" s="1"/>
  <c r="Y57" i="4"/>
  <c r="Y38" i="4"/>
  <c r="X43" i="4"/>
  <c r="X45" i="4"/>
  <c r="BA32" i="4" l="1"/>
  <c r="BA33" i="4" s="1"/>
  <c r="BA29" i="4"/>
  <c r="BA30" i="4" s="1"/>
  <c r="BB27" i="4"/>
  <c r="BB25" i="4"/>
  <c r="BC20" i="4"/>
  <c r="N145" i="4"/>
  <c r="N150" i="4"/>
  <c r="N153" i="4" s="1"/>
  <c r="N193" i="4" s="1"/>
  <c r="N197" i="4" s="1"/>
  <c r="S139" i="4"/>
  <c r="S151" i="4" s="1"/>
  <c r="S143" i="4"/>
  <c r="S147" i="4" s="1"/>
  <c r="S150" i="4" s="1"/>
  <c r="S153" i="4" s="1"/>
  <c r="S193" i="4" s="1"/>
  <c r="S197" i="4" s="1"/>
  <c r="T138" i="4"/>
  <c r="L145" i="4"/>
  <c r="L150" i="4"/>
  <c r="L153" i="4" s="1"/>
  <c r="L193" i="4" s="1"/>
  <c r="L197" i="4" s="1"/>
  <c r="M145" i="4"/>
  <c r="M150" i="4"/>
  <c r="M153" i="4" s="1"/>
  <c r="M193" i="4" s="1"/>
  <c r="M197" i="4" s="1"/>
  <c r="P145" i="4"/>
  <c r="P150" i="4"/>
  <c r="P153" i="4" s="1"/>
  <c r="P193" i="4" s="1"/>
  <c r="P197" i="4" s="1"/>
  <c r="O145" i="4"/>
  <c r="O150" i="4"/>
  <c r="O153" i="4" s="1"/>
  <c r="O193" i="4" s="1"/>
  <c r="O197" i="4" s="1"/>
  <c r="R145" i="4"/>
  <c r="R150" i="4"/>
  <c r="R153" i="4" s="1"/>
  <c r="R193" i="4" s="1"/>
  <c r="R197" i="4" s="1"/>
  <c r="K145" i="4"/>
  <c r="K150" i="4"/>
  <c r="K153" i="4" s="1"/>
  <c r="K193" i="4" s="1"/>
  <c r="K197" i="4" s="1"/>
  <c r="Q145" i="4"/>
  <c r="Q150" i="4"/>
  <c r="Q153" i="4" s="1"/>
  <c r="Q193" i="4" s="1"/>
  <c r="Q197" i="4" s="1"/>
  <c r="Y45" i="4"/>
  <c r="Z57" i="4"/>
  <c r="Y43" i="4"/>
  <c r="Z38" i="4"/>
  <c r="BB32" i="4" l="1"/>
  <c r="BB33" i="4" s="1"/>
  <c r="BB29" i="4"/>
  <c r="BB30" i="4" s="1"/>
  <c r="BC27" i="4"/>
  <c r="BC25" i="4"/>
  <c r="BD20" i="4"/>
  <c r="S145" i="4"/>
  <c r="T139" i="4"/>
  <c r="T151" i="4" s="1"/>
  <c r="T143" i="4"/>
  <c r="T147" i="4" s="1"/>
  <c r="T140" i="4"/>
  <c r="U138" i="4"/>
  <c r="AA57" i="4"/>
  <c r="AA38" i="4"/>
  <c r="Z45" i="4"/>
  <c r="Z43" i="4"/>
  <c r="BE20" i="4" l="1"/>
  <c r="BD27" i="4"/>
  <c r="BD25" i="4"/>
  <c r="BC29" i="4"/>
  <c r="BC30" i="4" s="1"/>
  <c r="BC32" i="4"/>
  <c r="BC33" i="4" s="1"/>
  <c r="T145" i="4"/>
  <c r="T150" i="4"/>
  <c r="T153" i="4" s="1"/>
  <c r="T193" i="4" s="1"/>
  <c r="T197" i="4" s="1"/>
  <c r="U139" i="4"/>
  <c r="U151" i="4" s="1"/>
  <c r="U143" i="4"/>
  <c r="U147" i="4" s="1"/>
  <c r="U140" i="4"/>
  <c r="V138" i="4"/>
  <c r="AB57" i="4"/>
  <c r="AB38" i="4"/>
  <c r="AA43" i="4"/>
  <c r="AA45" i="4"/>
  <c r="BD32" i="4" l="1"/>
  <c r="BD33" i="4" s="1"/>
  <c r="BD29" i="4"/>
  <c r="BD30" i="4" s="1"/>
  <c r="BE27" i="4"/>
  <c r="BE25" i="4"/>
  <c r="BF20" i="4"/>
  <c r="V139" i="4"/>
  <c r="V151" i="4" s="1"/>
  <c r="V143" i="4"/>
  <c r="V147" i="4" s="1"/>
  <c r="V140" i="4"/>
  <c r="W138" i="4"/>
  <c r="U145" i="4"/>
  <c r="U150" i="4"/>
  <c r="U153" i="4" s="1"/>
  <c r="U193" i="4" s="1"/>
  <c r="U197" i="4" s="1"/>
  <c r="AC38" i="4"/>
  <c r="AC57" i="4"/>
  <c r="AB43" i="4"/>
  <c r="AB45" i="4"/>
  <c r="BF27" i="4" l="1"/>
  <c r="BF25" i="4"/>
  <c r="BG20" i="4"/>
  <c r="BE29" i="4"/>
  <c r="BE30" i="4" s="1"/>
  <c r="BE32" i="4"/>
  <c r="BE33" i="4" s="1"/>
  <c r="V145" i="4"/>
  <c r="V150" i="4"/>
  <c r="V153" i="4" s="1"/>
  <c r="V193" i="4" s="1"/>
  <c r="V197" i="4" s="1"/>
  <c r="W139" i="4"/>
  <c r="W151" i="4" s="1"/>
  <c r="W143" i="4"/>
  <c r="W147" i="4" s="1"/>
  <c r="W140" i="4"/>
  <c r="X138" i="4"/>
  <c r="AD38" i="4"/>
  <c r="AD57" i="4"/>
  <c r="AC43" i="4"/>
  <c r="AC45" i="4"/>
  <c r="BG25" i="4" l="1"/>
  <c r="BG27" i="4"/>
  <c r="BH20" i="4"/>
  <c r="BF32" i="4"/>
  <c r="BF33" i="4" s="1"/>
  <c r="BF29" i="4"/>
  <c r="BF30" i="4" s="1"/>
  <c r="X139" i="4"/>
  <c r="X151" i="4" s="1"/>
  <c r="X143" i="4"/>
  <c r="X147" i="4" s="1"/>
  <c r="X140" i="4"/>
  <c r="Y138" i="4"/>
  <c r="W145" i="4"/>
  <c r="W150" i="4"/>
  <c r="W153" i="4" s="1"/>
  <c r="W193" i="4" s="1"/>
  <c r="W197" i="4" s="1"/>
  <c r="AE38" i="4"/>
  <c r="AD45" i="4"/>
  <c r="AE57" i="4"/>
  <c r="AD43" i="4"/>
  <c r="BI20" i="4" l="1"/>
  <c r="BH25" i="4"/>
  <c r="BH27" i="4"/>
  <c r="BG32" i="4"/>
  <c r="BG33" i="4" s="1"/>
  <c r="BG29" i="4"/>
  <c r="BG30" i="4" s="1"/>
  <c r="Y139" i="4"/>
  <c r="Y151" i="4" s="1"/>
  <c r="Y143" i="4"/>
  <c r="Y147" i="4" s="1"/>
  <c r="Y140" i="4"/>
  <c r="Z138" i="4"/>
  <c r="X145" i="4"/>
  <c r="X150" i="4"/>
  <c r="X153" i="4" s="1"/>
  <c r="X193" i="4" s="1"/>
  <c r="X197" i="4" s="1"/>
  <c r="AF38" i="4"/>
  <c r="AF57" i="4"/>
  <c r="AE43" i="4"/>
  <c r="AE45" i="4"/>
  <c r="BH29" i="4" l="1"/>
  <c r="BH30" i="4" s="1"/>
  <c r="BH32" i="4"/>
  <c r="BH33" i="4" s="1"/>
  <c r="BI27" i="4"/>
  <c r="BI25" i="4"/>
  <c r="Z139" i="4"/>
  <c r="Z151" i="4" s="1"/>
  <c r="Z143" i="4"/>
  <c r="Z147" i="4" s="1"/>
  <c r="Z140" i="4"/>
  <c r="AA138" i="4"/>
  <c r="Y145" i="4"/>
  <c r="Y150" i="4"/>
  <c r="Y153" i="4" s="1"/>
  <c r="Y193" i="4" s="1"/>
  <c r="Y197" i="4" s="1"/>
  <c r="AF45" i="4"/>
  <c r="AG57" i="4"/>
  <c r="AG38" i="4"/>
  <c r="AF43" i="4"/>
  <c r="BI32" i="4" l="1"/>
  <c r="BI33" i="4" s="1"/>
  <c r="K31" i="4" s="1"/>
  <c r="M30" i="4" s="1"/>
  <c r="N30" i="4" s="1"/>
  <c r="BI29" i="4"/>
  <c r="BI30" i="4" s="1"/>
  <c r="Z145" i="4"/>
  <c r="Z150" i="4"/>
  <c r="Z153" i="4" s="1"/>
  <c r="Z193" i="4" s="1"/>
  <c r="Z197" i="4" s="1"/>
  <c r="AA139" i="4"/>
  <c r="AA151" i="4" s="1"/>
  <c r="AA143" i="4"/>
  <c r="AA147" i="4" s="1"/>
  <c r="AA140" i="4"/>
  <c r="AB138" i="4"/>
  <c r="AG45" i="4"/>
  <c r="AH57" i="4"/>
  <c r="AH38" i="4"/>
  <c r="AG43" i="4"/>
  <c r="AB139" i="4" l="1"/>
  <c r="AB151" i="4" s="1"/>
  <c r="AB143" i="4"/>
  <c r="AB147" i="4" s="1"/>
  <c r="AB140" i="4"/>
  <c r="AC138" i="4"/>
  <c r="AA145" i="4"/>
  <c r="AA150" i="4"/>
  <c r="AA153" i="4" s="1"/>
  <c r="AA193" i="4" s="1"/>
  <c r="AA197" i="4" s="1"/>
  <c r="AI57" i="4"/>
  <c r="AH45" i="4"/>
  <c r="AI38" i="4"/>
  <c r="AH43" i="4"/>
  <c r="AC139" i="4" l="1"/>
  <c r="AC151" i="4" s="1"/>
  <c r="AC143" i="4"/>
  <c r="AC147" i="4" s="1"/>
  <c r="AC140" i="4"/>
  <c r="AD138" i="4"/>
  <c r="AB145" i="4"/>
  <c r="AB150" i="4"/>
  <c r="AB153" i="4" s="1"/>
  <c r="AB193" i="4" s="1"/>
  <c r="AB197" i="4" s="1"/>
  <c r="AJ57" i="4"/>
  <c r="AJ38" i="4"/>
  <c r="AI45" i="4"/>
  <c r="AI43" i="4"/>
  <c r="AD139" i="4" l="1"/>
  <c r="AD151" i="4" s="1"/>
  <c r="AD140" i="4"/>
  <c r="AD143" i="4"/>
  <c r="AD147" i="4" s="1"/>
  <c r="AC145" i="4"/>
  <c r="AC150" i="4"/>
  <c r="AC153" i="4" s="1"/>
  <c r="AC193" i="4" s="1"/>
  <c r="AC197" i="4" s="1"/>
  <c r="AK38" i="4"/>
  <c r="AJ45" i="4"/>
  <c r="AJ43" i="4"/>
  <c r="AK57" i="4"/>
  <c r="AD145" i="4" l="1"/>
  <c r="AD150" i="4"/>
  <c r="AD153" i="4" s="1"/>
  <c r="AD193" i="4" s="1"/>
  <c r="AD197" i="4" s="1"/>
  <c r="AJ50" i="4"/>
  <c r="AJ51" i="4" s="1"/>
  <c r="AJ47" i="4"/>
  <c r="AJ48" i="4" s="1"/>
  <c r="AL38" i="4"/>
  <c r="AK45" i="4"/>
  <c r="AL57" i="4"/>
  <c r="AK43" i="4"/>
  <c r="AK47" i="4" l="1"/>
  <c r="AK48" i="4" s="1"/>
  <c r="AK50" i="4"/>
  <c r="AK51" i="4" s="1"/>
  <c r="K48" i="4" s="1"/>
  <c r="AM38" i="4"/>
  <c r="AL45" i="4"/>
  <c r="AL43" i="4"/>
  <c r="AM57" i="4"/>
  <c r="AL50" i="4" l="1"/>
  <c r="AL51" i="4" s="1"/>
  <c r="AL47" i="4"/>
  <c r="AL48" i="4" s="1"/>
  <c r="AN38" i="4"/>
  <c r="AN57" i="4"/>
  <c r="AM43" i="4"/>
  <c r="AO57" i="4" l="1"/>
  <c r="AO38" i="4"/>
  <c r="AN43" i="4"/>
  <c r="AP57" i="4" l="1"/>
  <c r="AP38" i="4"/>
  <c r="AO43" i="4"/>
  <c r="AQ57" i="4" l="1"/>
  <c r="AQ38" i="4"/>
  <c r="AP43" i="4"/>
  <c r="AR57" i="4" l="1"/>
  <c r="AR38" i="4"/>
  <c r="AQ43" i="4"/>
  <c r="AS38" i="4" l="1"/>
  <c r="AS57" i="4"/>
  <c r="AR43" i="4"/>
  <c r="AT38" i="4" l="1"/>
  <c r="AS43" i="4"/>
  <c r="AT57" i="4"/>
  <c r="AU38" i="4" l="1"/>
  <c r="AU57" i="4"/>
  <c r="AT43" i="4"/>
  <c r="AV38" i="4" l="1"/>
  <c r="AV57" i="4"/>
  <c r="AU43" i="4"/>
  <c r="AW57" i="4" l="1"/>
  <c r="AW38" i="4"/>
  <c r="AV43" i="4"/>
  <c r="AX57" i="4" l="1"/>
  <c r="AX38" i="4"/>
  <c r="AW43" i="4"/>
  <c r="AY57" i="4" l="1"/>
  <c r="AZ57" i="4" s="1"/>
  <c r="AY38" i="4"/>
  <c r="AX43" i="4"/>
  <c r="AZ38" i="4" l="1"/>
  <c r="AY43" i="4"/>
  <c r="BA38" i="4" l="1"/>
  <c r="AZ43" i="4"/>
  <c r="BA43" i="4" l="1"/>
  <c r="BB38" i="4"/>
  <c r="BC38" i="4" l="1"/>
  <c r="BB43" i="4"/>
  <c r="BD38" i="4" l="1"/>
  <c r="BC43" i="4"/>
  <c r="BE38" i="4" l="1"/>
  <c r="BD43" i="4"/>
  <c r="BF38" i="4" l="1"/>
  <c r="BE43" i="4"/>
  <c r="BG38" i="4" l="1"/>
  <c r="BF43" i="4"/>
  <c r="BH38" i="4" l="1"/>
  <c r="BG43" i="4"/>
  <c r="BI38" i="4" l="1"/>
  <c r="BH43" i="4"/>
  <c r="BI43" i="4" l="1"/>
  <c r="K52" i="4" s="1"/>
  <c r="G19" i="4" s="1"/>
  <c r="M26" i="1" l="1"/>
  <c r="N24" i="1" s="1"/>
  <c r="N26" i="1" s="1"/>
  <c r="O24" i="1" s="1"/>
  <c r="O26" i="1" s="1"/>
  <c r="P24" i="1" s="1"/>
  <c r="P26" i="1" s="1"/>
  <c r="Q24" i="1" s="1"/>
  <c r="Q26" i="1" s="1"/>
  <c r="R24" i="1" s="1"/>
  <c r="R26" i="1" s="1"/>
  <c r="S24" i="1" s="1"/>
  <c r="S26" i="1" s="1"/>
  <c r="T24" i="1" s="1"/>
  <c r="T26" i="1" s="1"/>
  <c r="U24" i="1" s="1"/>
  <c r="U26" i="1" s="1"/>
  <c r="N28" i="1" l="1"/>
  <c r="N30" i="1" s="1"/>
  <c r="I38" i="1" s="1"/>
  <c r="I14" i="1" l="1"/>
  <c r="I39" i="1"/>
  <c r="J39" i="1" l="1"/>
  <c r="I40" i="1" s="1"/>
  <c r="I15" i="1" l="1"/>
  <c r="I41" i="1"/>
  <c r="I43" i="1" l="1"/>
  <c r="I45" i="1" s="1"/>
  <c r="M33" i="1" l="1"/>
  <c r="I17" i="1"/>
  <c r="I18" i="1" s="1"/>
  <c r="I19" i="1" s="1"/>
  <c r="M35" i="1" l="1"/>
  <c r="N33" i="1" s="1"/>
  <c r="N35" i="1" s="1"/>
  <c r="O33" i="1" s="1"/>
  <c r="O35" i="1" s="1"/>
  <c r="P33" i="1" s="1"/>
  <c r="P35" i="1" s="1"/>
  <c r="Q33" i="1" s="1"/>
  <c r="Q35" i="1" s="1"/>
  <c r="R33" i="1" s="1"/>
  <c r="R35" i="1" s="1"/>
  <c r="N37" i="1" l="1"/>
  <c r="M37" i="1" s="1"/>
  <c r="I49" i="1" s="1"/>
  <c r="I50" i="1" s="1"/>
  <c r="J50" i="1" s="1"/>
  <c r="I51" i="1" s="1"/>
  <c r="I52" i="1" s="1"/>
  <c r="I57" i="1" l="1"/>
  <c r="I59" i="1" s="1"/>
  <c r="M47" i="1" s="1"/>
  <c r="M49" i="1" s="1"/>
  <c r="N47" i="1" s="1"/>
  <c r="M40" i="1"/>
  <c r="M42" i="1" s="1"/>
  <c r="N40" i="1" s="1"/>
  <c r="N42" i="1" l="1"/>
  <c r="O40" i="1" s="1"/>
  <c r="O42" i="1" s="1"/>
  <c r="P40" i="1" s="1"/>
  <c r="P42" i="1" s="1"/>
  <c r="Q40" i="1" s="1"/>
  <c r="Q42" i="1" s="1"/>
  <c r="R40" i="1" s="1"/>
  <c r="R42" i="1" s="1"/>
  <c r="N49" i="1"/>
  <c r="O47" i="1" s="1"/>
  <c r="O49" i="1" s="1"/>
  <c r="P47" i="1" s="1"/>
  <c r="P49" i="1" s="1"/>
  <c r="Q47" i="1" s="1"/>
  <c r="Q49" i="1" s="1"/>
  <c r="R47" i="1" s="1"/>
  <c r="R49" i="1" s="1"/>
  <c r="N44" i="1" l="1"/>
  <c r="N51" i="1"/>
  <c r="M51" i="1" s="1"/>
  <c r="I63" i="1" s="1"/>
  <c r="I64" i="1" l="1"/>
  <c r="J64" i="1" s="1"/>
  <c r="I65" i="1" s="1"/>
  <c r="I112" i="3"/>
  <c r="I121" i="3" s="1"/>
  <c r="I213" i="3" s="1"/>
  <c r="I113" i="3"/>
  <c r="I103" i="3" s="1"/>
  <c r="I114" i="3" l="1"/>
  <c r="I66" i="1" l="1"/>
  <c r="I68" i="1" l="1"/>
  <c r="I115" i="3"/>
  <c r="I70" i="1" l="1"/>
  <c r="I117" i="3"/>
  <c r="I119" i="3" l="1"/>
  <c r="I101" i="3" s="1"/>
  <c r="I105" i="3" s="1"/>
  <c r="H105" i="3" s="1"/>
  <c r="S140" i="4"/>
</calcChain>
</file>

<file path=xl/sharedStrings.xml><?xml version="1.0" encoding="utf-8"?>
<sst xmlns="http://schemas.openxmlformats.org/spreadsheetml/2006/main" count="459" uniqueCount="257">
  <si>
    <t>Estate Planning</t>
  </si>
  <si>
    <t>Estate- &amp; Risk Planning</t>
  </si>
  <si>
    <t>Assets</t>
  </si>
  <si>
    <t>Liabilities</t>
  </si>
  <si>
    <t>Current Life Cover</t>
  </si>
  <si>
    <t>Fixed Assets</t>
  </si>
  <si>
    <t>Cash/Investments</t>
  </si>
  <si>
    <t>Income Required for dependents</t>
  </si>
  <si>
    <t>Years Income is required</t>
  </si>
  <si>
    <t>Breakdown</t>
  </si>
  <si>
    <t>Property</t>
  </si>
  <si>
    <t>Deemed Property</t>
  </si>
  <si>
    <t>Gross Value of Estate</t>
  </si>
  <si>
    <t>Deductions</t>
  </si>
  <si>
    <t>Nett Value</t>
  </si>
  <si>
    <t>Minus Abatement</t>
  </si>
  <si>
    <t>Dutiable value of Estate</t>
  </si>
  <si>
    <t>Estate Duty @20%</t>
  </si>
  <si>
    <t>Estate Duty</t>
  </si>
  <si>
    <t>Life Cover Breakdown</t>
  </si>
  <si>
    <t>Life Cover on Income</t>
  </si>
  <si>
    <t>Liabilities to Cover</t>
  </si>
  <si>
    <t>Estate Fees</t>
  </si>
  <si>
    <t>liabilities</t>
  </si>
  <si>
    <t>Life Cover Required</t>
  </si>
  <si>
    <t>Income for Dependents</t>
  </si>
  <si>
    <t xml:space="preserve">Disability Cover </t>
  </si>
  <si>
    <t>Disability Cover</t>
  </si>
  <si>
    <t>Severe Illness Cover</t>
  </si>
  <si>
    <t xml:space="preserve">Income </t>
  </si>
  <si>
    <t>Income Protection Based Quote</t>
  </si>
  <si>
    <t>Income Protection Before Tax</t>
  </si>
  <si>
    <t>Premium</t>
  </si>
  <si>
    <t>Age</t>
  </si>
  <si>
    <t>Return</t>
  </si>
  <si>
    <t>Retirement Age</t>
  </si>
  <si>
    <t>API</t>
  </si>
  <si>
    <t>Fees</t>
  </si>
  <si>
    <t>Income PV at retirement</t>
  </si>
  <si>
    <t>Net Return</t>
  </si>
  <si>
    <t>FV</t>
  </si>
  <si>
    <t>CPI</t>
  </si>
  <si>
    <t>ROI</t>
  </si>
  <si>
    <t>Next years investment</t>
  </si>
  <si>
    <t>Investment Now</t>
  </si>
  <si>
    <t>investment Next Year</t>
  </si>
  <si>
    <t>Contributions</t>
  </si>
  <si>
    <t>Age next</t>
  </si>
  <si>
    <t>Income Required at Retirment Before Tax</t>
  </si>
  <si>
    <t>Current Retirement Savings</t>
  </si>
  <si>
    <t>What age do you want to retire</t>
  </si>
  <si>
    <t>How many years should your money last</t>
  </si>
  <si>
    <t>Effective Annual Cost</t>
  </si>
  <si>
    <t>Guatanteed Plan</t>
  </si>
  <si>
    <t>Tax Rate</t>
  </si>
  <si>
    <t>Bank Interest</t>
  </si>
  <si>
    <t>Drawdown</t>
  </si>
  <si>
    <t>Fund</t>
  </si>
  <si>
    <t>Total Required</t>
  </si>
  <si>
    <t>Monthly Contribution</t>
  </si>
  <si>
    <t>Budget</t>
  </si>
  <si>
    <t>PMT</t>
  </si>
  <si>
    <t>PV</t>
  </si>
  <si>
    <t>Retirement Fund</t>
  </si>
  <si>
    <t>Income</t>
  </si>
  <si>
    <t>For Illustration Purposes only</t>
  </si>
  <si>
    <t>Tyoe</t>
  </si>
  <si>
    <t>Flexible Investment</t>
  </si>
  <si>
    <t>Endowment</t>
  </si>
  <si>
    <t>Tax Free</t>
  </si>
  <si>
    <t>Bank</t>
  </si>
  <si>
    <t>I</t>
  </si>
  <si>
    <t>EAC</t>
  </si>
  <si>
    <t>Contributed</t>
  </si>
  <si>
    <t>Profit</t>
  </si>
  <si>
    <t>FLEX</t>
  </si>
  <si>
    <t>ENDOW</t>
  </si>
  <si>
    <t>investment Type</t>
  </si>
  <si>
    <t>Investment Planning</t>
  </si>
  <si>
    <t>Investment Type</t>
  </si>
  <si>
    <t>Saving Term</t>
  </si>
  <si>
    <t>Salary Tax Bracket</t>
  </si>
  <si>
    <t>client Name</t>
  </si>
  <si>
    <t>Momentum</t>
  </si>
  <si>
    <t>FMI</t>
  </si>
  <si>
    <t>Sanlam</t>
  </si>
  <si>
    <t>Discovery</t>
  </si>
  <si>
    <t>Brightrock</t>
  </si>
  <si>
    <t>Liabilities to cover</t>
  </si>
  <si>
    <t>Life Cover</t>
  </si>
  <si>
    <t>Income Protection</t>
  </si>
  <si>
    <t>Retrenchment Protection</t>
  </si>
  <si>
    <t>Investment Funds selected for the client portfolio:</t>
  </si>
  <si>
    <t>Risk Premiums</t>
  </si>
  <si>
    <t>Cover Taken by klient</t>
  </si>
  <si>
    <t>Commissions</t>
  </si>
  <si>
    <t>Investment management fee</t>
  </si>
  <si>
    <t>Adviser fee</t>
  </si>
  <si>
    <t>Commission per month</t>
  </si>
  <si>
    <t>Risk 1</t>
  </si>
  <si>
    <t>Risk 2</t>
  </si>
  <si>
    <t>Funds for education/other family needs</t>
  </si>
  <si>
    <t>Product Recommended</t>
  </si>
  <si>
    <t>Invest recommended</t>
  </si>
  <si>
    <t>Discovery Core RA</t>
  </si>
  <si>
    <t>Other Needs</t>
  </si>
  <si>
    <t>Direct Comparison Info</t>
  </si>
  <si>
    <t>Life</t>
  </si>
  <si>
    <t>Disability</t>
  </si>
  <si>
    <t>SIB</t>
  </si>
  <si>
    <t>Linked</t>
  </si>
  <si>
    <t>Full Cover</t>
  </si>
  <si>
    <t>Half Cover</t>
  </si>
  <si>
    <t>ICB</t>
  </si>
  <si>
    <t>3 Months</t>
  </si>
  <si>
    <t>Premiums</t>
  </si>
  <si>
    <t>New</t>
  </si>
  <si>
    <t>Old</t>
  </si>
  <si>
    <t>Discovery Cautious Balanced Fund</t>
  </si>
  <si>
    <t>PSG Wealth Income Fund</t>
  </si>
  <si>
    <t>Coronation Strategic Income Fund</t>
  </si>
  <si>
    <t>Investec Cautious Managed Fund</t>
  </si>
  <si>
    <t>Maximum Drawdown</t>
  </si>
  <si>
    <t>Reinvest 1/3</t>
  </si>
  <si>
    <t>Used 1/3</t>
  </si>
  <si>
    <t xml:space="preserve">Withdrawing 1/3 </t>
  </si>
  <si>
    <t>Tax Free Portion</t>
  </si>
  <si>
    <t>How long</t>
  </si>
  <si>
    <t>Having</t>
  </si>
  <si>
    <t>To retire lekker</t>
  </si>
  <si>
    <t>Retirement</t>
  </si>
  <si>
    <t>Total</t>
  </si>
  <si>
    <t>Yearly</t>
  </si>
  <si>
    <t>Cobus JVR</t>
  </si>
  <si>
    <t>Short term Cover</t>
  </si>
  <si>
    <t>Nishan</t>
  </si>
  <si>
    <t>Short term</t>
  </si>
  <si>
    <t>Kibashen</t>
  </si>
  <si>
    <t>Tiaan Nel</t>
  </si>
  <si>
    <t>Investment</t>
  </si>
  <si>
    <t>Johan Niebuhr</t>
  </si>
  <si>
    <t>Medies Classic Delta Saver</t>
  </si>
  <si>
    <t>Werner Lewies</t>
  </si>
  <si>
    <t>Life Cover Comparison</t>
  </si>
  <si>
    <t>Karl</t>
  </si>
  <si>
    <t>Is sy goed reg verander</t>
  </si>
  <si>
    <t>Bennie</t>
  </si>
  <si>
    <t>Call Bennie</t>
  </si>
  <si>
    <t>Chris Marsh</t>
  </si>
  <si>
    <t>Ursela</t>
  </si>
  <si>
    <t>Rowann</t>
  </si>
  <si>
    <t>Await Rowann</t>
  </si>
  <si>
    <t>Await Anton</t>
  </si>
  <si>
    <t>Pillay</t>
  </si>
  <si>
    <t>Theunis Welman</t>
  </si>
  <si>
    <t>Heinrich Geyer</t>
  </si>
  <si>
    <t>Jean Swart</t>
  </si>
  <si>
    <t>Deon</t>
  </si>
  <si>
    <t>Darris</t>
  </si>
  <si>
    <t>Damian</t>
  </si>
  <si>
    <t>Kevin Pretoriua</t>
  </si>
  <si>
    <t>Andre vd Merwe</t>
  </si>
  <si>
    <t>JP de Leeuw</t>
  </si>
  <si>
    <t>JP Dad</t>
  </si>
  <si>
    <t>Wilma</t>
  </si>
  <si>
    <t>Hennie Louw</t>
  </si>
  <si>
    <t>FJ</t>
  </si>
  <si>
    <t>Inke</t>
  </si>
  <si>
    <t>Santie</t>
  </si>
  <si>
    <t>Ettienne Medies</t>
  </si>
  <si>
    <t>Zanele Life Cover Br</t>
  </si>
  <si>
    <t>Carmi Erasmus</t>
  </si>
  <si>
    <t>Cornelius van Rooyen</t>
  </si>
  <si>
    <t>Jacques Venter</t>
  </si>
  <si>
    <t>Jacques.venter@suninternational.com</t>
  </si>
  <si>
    <t>Vanrooyen84@gmail.com</t>
  </si>
  <si>
    <t>Barry@gdirons.co.za</t>
  </si>
  <si>
    <t>Bel</t>
  </si>
  <si>
    <t>Email</t>
  </si>
  <si>
    <t>Buks Grobbelaar</t>
  </si>
  <si>
    <t>Johan Engel</t>
  </si>
  <si>
    <t>Lucinda / Vernon</t>
  </si>
  <si>
    <t>Pieter Neethling</t>
  </si>
  <si>
    <t>Riaan Meyer</t>
  </si>
  <si>
    <t>Ian van Wyk</t>
  </si>
  <si>
    <t>ianvanwyk@gmail.com</t>
  </si>
  <si>
    <t>Ehrard Erdman</t>
  </si>
  <si>
    <t>Opvolg</t>
  </si>
  <si>
    <t>eerdmann@gew.co.za</t>
  </si>
  <si>
    <t>office@ecoe.co.za</t>
  </si>
  <si>
    <t>pieterneethling25@gmail.com</t>
  </si>
  <si>
    <t>Angelique Rossouw</t>
  </si>
  <si>
    <t>angelique.warren@gmail.com</t>
  </si>
  <si>
    <t>Jeanette Dennis</t>
  </si>
  <si>
    <t>Heinrich Bosch</t>
  </si>
  <si>
    <t>bosch@grindprocurent.co.za</t>
  </si>
  <si>
    <t>Henk Kirsten</t>
  </si>
  <si>
    <t>Hendrik Crous</t>
  </si>
  <si>
    <t>Book</t>
  </si>
  <si>
    <t>Zandri</t>
  </si>
  <si>
    <t>Louwrens</t>
  </si>
  <si>
    <t>Medies Prime 1</t>
  </si>
  <si>
    <t>Aaref Joosub detaiils</t>
  </si>
  <si>
    <t>DC Claassen</t>
  </si>
  <si>
    <t>Medical Aid</t>
  </si>
  <si>
    <t>Leon Goosen</t>
  </si>
  <si>
    <t>Wayne du Preez</t>
  </si>
  <si>
    <t>Oom roelf</t>
  </si>
  <si>
    <t>Marilize</t>
  </si>
  <si>
    <t>Stefan Smal</t>
  </si>
  <si>
    <t>Sally de Witt</t>
  </si>
  <si>
    <t>Chene</t>
  </si>
  <si>
    <t>Life Insurance</t>
  </si>
  <si>
    <t>Jolandie Sanlam</t>
  </si>
  <si>
    <t>Sect 14</t>
  </si>
  <si>
    <t>Sms kabous</t>
  </si>
  <si>
    <t>Kobus email</t>
  </si>
  <si>
    <t>Pieter sterk</t>
  </si>
  <si>
    <t>Jelani Bouwer</t>
  </si>
  <si>
    <t>Piieter Smit</t>
  </si>
  <si>
    <t>louwrens nel</t>
  </si>
  <si>
    <t>Barry Strydom</t>
  </si>
  <si>
    <t>Leonie</t>
  </si>
  <si>
    <t xml:space="preserve">riaanmeyerlaw@gmail.com </t>
  </si>
  <si>
    <t>Reinhardt</t>
  </si>
  <si>
    <t>Financial Planning</t>
  </si>
  <si>
    <t>The following calculations is based information given by the client:</t>
  </si>
  <si>
    <t>Life Cover on Income Required</t>
  </si>
  <si>
    <t>Risk- and Estate Planning</t>
  </si>
  <si>
    <t>Current value of all assets</t>
  </si>
  <si>
    <t>Funds for education/other needs</t>
  </si>
  <si>
    <t>Estate- and Risk Planning</t>
  </si>
  <si>
    <t>Client name</t>
  </si>
  <si>
    <t>Recurring Investment</t>
  </si>
  <si>
    <t>Lump Sum Investment</t>
  </si>
  <si>
    <t>Interest</t>
  </si>
  <si>
    <t>Annual Premium Increase</t>
  </si>
  <si>
    <t>Bank Return</t>
  </si>
  <si>
    <t>Endowment additional fees</t>
  </si>
  <si>
    <t>Tax</t>
  </si>
  <si>
    <t>Flex</t>
  </si>
  <si>
    <t>Client Needs and assumptions</t>
  </si>
  <si>
    <t>Compare</t>
  </si>
  <si>
    <t>Investment Comparison Options</t>
  </si>
  <si>
    <t>Total Values</t>
  </si>
  <si>
    <t>Value</t>
  </si>
  <si>
    <t>Brightrock 2</t>
  </si>
  <si>
    <t>Brightrock 3</t>
  </si>
  <si>
    <t>Your Name</t>
  </si>
  <si>
    <t>* (Total value of assets you have)</t>
  </si>
  <si>
    <t>* (Total debt you have)</t>
  </si>
  <si>
    <t xml:space="preserve">* </t>
  </si>
  <si>
    <t>* (What would your dependents require per month after all debt is paid)</t>
  </si>
  <si>
    <t>* (How many years do they need this income)</t>
  </si>
  <si>
    <t>*(Anything else you can think of that you leave as a lump sum for your loved ones)</t>
  </si>
  <si>
    <t>Prepared by MoneyLab</t>
  </si>
  <si>
    <t>Your Income After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</si>
</sst>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R&quot;#,##0_);[Red]\(&quot;R&quot;#,##0\)"/>
    <numFmt numFmtId="8" formatCode="&quot;R&quot;#,##0.00_);[Red]\(&quot;R&quot;#,##0.00\)"/>
    <numFmt numFmtId="43" formatCode="_(* #,##0.00_);_(* \(#,##0.00\);_(* &quot;-&quot;??_);_(@_)"/>
    <numFmt numFmtId="164" formatCode="0.000%"/>
    <numFmt numFmtId="165" formatCode="_(* #,##0.0000_);_(* \(#,##0.0000\);_(* &quot;-&quot;??_);_(@_)"/>
    <numFmt numFmtId="166" formatCode="_(* #,##0_);_(* \(#,##0\);_(* &quot;-&quot;??_);_(@_)"/>
    <numFmt numFmtId="167" formatCode="_ [$R-1C09]\ * #,##0.00_ ;_ [$R-1C09]\ * \-#,##0.00_ ;_ [$R-1C09]\ * &quot;-&quot;??_ ;_ @_ "/>
    <numFmt numFmtId="168" formatCode="&quot;R&quot;#,##0.00"/>
    <numFmt numFmtId="169" formatCode="&quot;R&quot;#,##0"/>
    <numFmt numFmtId="170" formatCode="_(&quot;R&quot;* #,##0_);_(&quot;R&quot;* \(#,##0\);_(&quot;R&quot;* &quot;-&quot;??_);_(@_)"/>
    <numFmt numFmtId="171" formatCode="0.00000%"/>
    <numFmt numFmtId="172" formatCode="&quot;R&quot;#,##0.00000"/>
    <numFmt numFmtId="173" formatCode="0.000000000000000000000"/>
    <numFmt numFmtId="174" formatCode="&quot;R&quot;#,##0.000"/>
    <numFmt numFmtId="175" formatCode="0.0%"/>
    <numFmt numFmtId="176" formatCode="_(* #,##0.000000_);_(* \(#,##0.000000\);_(* &quot;-&quot;??_);_(@_)"/>
    <numFmt numFmtId="177" formatCode="0.0000%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Bangla MN"/>
    </font>
    <font>
      <u/>
      <sz val="12"/>
      <color theme="10"/>
      <name val="Calibri"/>
      <family val="2"/>
      <scheme val="minor"/>
    </font>
    <font>
      <sz val="12"/>
      <color theme="1"/>
      <name val="Arial Rounded MT Bold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Arial Rounded MT Bold"/>
      <family val="2"/>
    </font>
    <font>
      <sz val="18"/>
      <color rgb="FF000000"/>
      <name val="Arial Rounded MT Bold"/>
      <family val="2"/>
    </font>
    <font>
      <b/>
      <sz val="18"/>
      <color theme="1"/>
      <name val="Arial Rounded MT Bold"/>
      <family val="2"/>
    </font>
    <font>
      <b/>
      <sz val="22"/>
      <color rgb="FF002060"/>
      <name val="Arial Rounded MT Bold"/>
      <family val="2"/>
    </font>
    <font>
      <sz val="22"/>
      <color rgb="FF002060"/>
      <name val="Arial Rounded MT Bold"/>
      <family val="2"/>
    </font>
    <font>
      <sz val="18"/>
      <color theme="0"/>
      <name val="Arial Rounded MT Bold"/>
      <family val="2"/>
    </font>
    <font>
      <b/>
      <sz val="18"/>
      <color rgb="FF000000"/>
      <name val="Arial Rounded MT Bold"/>
      <family val="2"/>
    </font>
    <font>
      <i/>
      <sz val="18"/>
      <color rgb="FF000000"/>
      <name val="Arial Rounded MT Bold"/>
      <family val="2"/>
    </font>
    <font>
      <i/>
      <sz val="18"/>
      <color theme="1"/>
      <name val="Arial Rounded MT Bold"/>
      <family val="2"/>
    </font>
    <font>
      <sz val="36"/>
      <color theme="1"/>
      <name val="Arial Rounded MT Bold"/>
      <family val="2"/>
    </font>
    <font>
      <sz val="72"/>
      <color theme="1"/>
      <name val="Arial Rounded MT Bold"/>
      <family val="2"/>
    </font>
    <font>
      <sz val="26"/>
      <color theme="1"/>
      <name val="Arial Rounded MT Bold"/>
      <family val="2"/>
    </font>
    <font>
      <u/>
      <sz val="12"/>
      <color theme="1"/>
      <name val="Calibri"/>
      <family val="2"/>
      <scheme val="minor"/>
    </font>
    <font>
      <sz val="10"/>
      <color theme="1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theme="1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1">
    <xf numFmtId="0" fontId="0" fillId="0" borderId="0" xfId="0"/>
    <xf numFmtId="166" fontId="0" fillId="2" borderId="2" xfId="1" applyNumberFormat="1" applyFont="1" applyFill="1" applyBorder="1" applyAlignment="1">
      <alignment horizontal="right"/>
    </xf>
    <xf numFmtId="9" fontId="0" fillId="2" borderId="2" xfId="2" applyFont="1" applyFill="1" applyBorder="1" applyAlignment="1">
      <alignment horizontal="right"/>
    </xf>
    <xf numFmtId="0" fontId="0" fillId="2" borderId="0" xfId="0" applyFill="1"/>
    <xf numFmtId="166" fontId="0" fillId="2" borderId="0" xfId="1" applyNumberFormat="1" applyFont="1" applyFill="1"/>
    <xf numFmtId="169" fontId="0" fillId="2" borderId="0" xfId="0" applyNumberFormat="1" applyFill="1"/>
    <xf numFmtId="0" fontId="8" fillId="2" borderId="0" xfId="0" applyFont="1" applyFill="1" applyAlignment="1">
      <alignment horizontal="center"/>
    </xf>
    <xf numFmtId="169" fontId="8" fillId="2" borderId="0" xfId="0" applyNumberFormat="1" applyFont="1" applyFill="1" applyAlignment="1">
      <alignment horizontal="center"/>
    </xf>
    <xf numFmtId="168" fontId="7" fillId="2" borderId="0" xfId="0" applyNumberFormat="1" applyFont="1" applyFill="1"/>
    <xf numFmtId="0" fontId="7" fillId="2" borderId="0" xfId="0" applyFont="1" applyFill="1"/>
    <xf numFmtId="0" fontId="21" fillId="2" borderId="0" xfId="3" applyFont="1" applyFill="1"/>
    <xf numFmtId="0" fontId="0" fillId="2" borderId="0" xfId="0" applyFill="1" applyAlignment="1">
      <alignment horizontal="center"/>
    </xf>
    <xf numFmtId="169" fontId="0" fillId="2" borderId="0" xfId="0" applyNumberFormat="1" applyFill="1" applyAlignment="1">
      <alignment horizontal="center"/>
    </xf>
    <xf numFmtId="168" fontId="0" fillId="2" borderId="0" xfId="0" applyNumberFormat="1" applyFill="1"/>
    <xf numFmtId="10" fontId="0" fillId="2" borderId="0" xfId="0" applyNumberFormat="1" applyFill="1"/>
    <xf numFmtId="8" fontId="0" fillId="2" borderId="0" xfId="0" applyNumberFormat="1" applyFill="1"/>
    <xf numFmtId="0" fontId="4" fillId="3" borderId="0" xfId="0" applyFont="1" applyFill="1"/>
    <xf numFmtId="0" fontId="18" fillId="3" borderId="0" xfId="0" applyFont="1" applyFill="1"/>
    <xf numFmtId="0" fontId="0" fillId="3" borderId="0" xfId="0" applyFill="1"/>
    <xf numFmtId="0" fontId="19" fillId="3" borderId="0" xfId="0" applyFont="1" applyFill="1"/>
    <xf numFmtId="0" fontId="9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12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69" fontId="9" fillId="3" borderId="0" xfId="1" applyNumberFormat="1" applyFont="1" applyFill="1" applyBorder="1" applyAlignment="1">
      <alignment horizontal="center"/>
    </xf>
    <xf numFmtId="169" fontId="4" fillId="3" borderId="0" xfId="1" applyNumberFormat="1" applyFont="1" applyFill="1" applyBorder="1" applyAlignment="1">
      <alignment horizontal="center"/>
    </xf>
    <xf numFmtId="169" fontId="9" fillId="3" borderId="0" xfId="0" applyNumberFormat="1" applyFont="1" applyFill="1" applyAlignment="1">
      <alignment horizontal="right"/>
    </xf>
    <xf numFmtId="169" fontId="9" fillId="3" borderId="0" xfId="0" applyNumberFormat="1" applyFont="1" applyFill="1"/>
    <xf numFmtId="169" fontId="4" fillId="3" borderId="0" xfId="0" applyNumberFormat="1" applyFont="1" applyFill="1"/>
    <xf numFmtId="0" fontId="11" fillId="3" borderId="0" xfId="0" applyFont="1" applyFill="1"/>
    <xf numFmtId="169" fontId="11" fillId="3" borderId="0" xfId="0" applyNumberFormat="1" applyFont="1" applyFill="1" applyAlignment="1">
      <alignment horizontal="right"/>
    </xf>
    <xf numFmtId="169" fontId="9" fillId="3" borderId="0" xfId="0" applyNumberFormat="1" applyFont="1" applyFill="1" applyAlignment="1">
      <alignment horizontal="center"/>
    </xf>
    <xf numFmtId="0" fontId="10" fillId="3" borderId="0" xfId="0" applyFont="1" applyFill="1"/>
    <xf numFmtId="0" fontId="16" fillId="3" borderId="0" xfId="0" applyFont="1" applyFill="1"/>
    <xf numFmtId="169" fontId="17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15" fillId="3" borderId="0" xfId="0" applyFont="1" applyFill="1"/>
    <xf numFmtId="169" fontId="11" fillId="3" borderId="0" xfId="1" applyNumberFormat="1" applyFont="1" applyFill="1" applyBorder="1" applyAlignment="1">
      <alignment horizontal="right"/>
    </xf>
    <xf numFmtId="169" fontId="14" fillId="3" borderId="0" xfId="0" applyNumberFormat="1" applyFont="1" applyFill="1"/>
    <xf numFmtId="0" fontId="6" fillId="3" borderId="0" xfId="0" applyFont="1" applyFill="1"/>
    <xf numFmtId="169" fontId="22" fillId="3" borderId="0" xfId="1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9" fillId="3" borderId="0" xfId="0" applyFont="1" applyFill="1" applyProtection="1">
      <protection locked="0"/>
    </xf>
    <xf numFmtId="169" fontId="9" fillId="3" borderId="0" xfId="1" applyNumberFormat="1" applyFont="1" applyFill="1" applyBorder="1" applyAlignment="1" applyProtection="1">
      <alignment horizontal="right" vertical="center"/>
      <protection locked="0"/>
    </xf>
    <xf numFmtId="0" fontId="9" fillId="3" borderId="0" xfId="1" applyNumberFormat="1" applyFont="1" applyFill="1" applyBorder="1" applyAlignment="1" applyProtection="1">
      <alignment horizontal="right" vertical="center"/>
      <protection locked="0"/>
    </xf>
    <xf numFmtId="169" fontId="9" fillId="3" borderId="0" xfId="0" applyNumberFormat="1" applyFont="1" applyFill="1" applyAlignment="1" applyProtection="1">
      <alignment horizontal="right" vertical="center"/>
      <protection locked="0"/>
    </xf>
    <xf numFmtId="0" fontId="0" fillId="2" borderId="9" xfId="0" applyFont="1" applyFill="1" applyBorder="1"/>
    <xf numFmtId="0" fontId="0" fillId="2" borderId="2" xfId="0" applyFont="1" applyFill="1" applyBorder="1"/>
    <xf numFmtId="9" fontId="0" fillId="2" borderId="2" xfId="0" applyNumberFormat="1" applyFont="1" applyFill="1" applyBorder="1" applyAlignment="1">
      <alignment horizontal="right"/>
    </xf>
    <xf numFmtId="0" fontId="0" fillId="2" borderId="13" xfId="0" applyFont="1" applyFill="1" applyBorder="1"/>
    <xf numFmtId="9" fontId="0" fillId="2" borderId="13" xfId="0" applyNumberFormat="1" applyFont="1" applyFill="1" applyBorder="1" applyAlignment="1">
      <alignment horizontal="right"/>
    </xf>
    <xf numFmtId="0" fontId="0" fillId="2" borderId="0" xfId="0" applyFont="1" applyFill="1"/>
    <xf numFmtId="0" fontId="0" fillId="2" borderId="6" xfId="0" applyFont="1" applyFill="1" applyBorder="1"/>
    <xf numFmtId="166" fontId="0" fillId="2" borderId="1" xfId="1" applyNumberFormat="1" applyFont="1" applyFill="1" applyBorder="1" applyAlignment="1">
      <alignment horizontal="right"/>
    </xf>
    <xf numFmtId="10" fontId="0" fillId="2" borderId="2" xfId="0" applyNumberFormat="1" applyFont="1" applyFill="1" applyBorder="1" applyAlignment="1">
      <alignment horizontal="right"/>
    </xf>
    <xf numFmtId="166" fontId="0" fillId="2" borderId="0" xfId="0" applyNumberFormat="1" applyFont="1" applyFill="1"/>
    <xf numFmtId="8" fontId="0" fillId="2" borderId="0" xfId="0" applyNumberFormat="1" applyFont="1" applyFill="1"/>
    <xf numFmtId="9" fontId="0" fillId="2" borderId="0" xfId="0" applyNumberFormat="1" applyFont="1" applyFill="1"/>
    <xf numFmtId="8" fontId="0" fillId="2" borderId="0" xfId="1" applyNumberFormat="1" applyFont="1" applyFill="1"/>
    <xf numFmtId="43" fontId="0" fillId="2" borderId="0" xfId="1" applyFont="1" applyFill="1"/>
    <xf numFmtId="10" fontId="0" fillId="2" borderId="0" xfId="0" applyNumberFormat="1" applyFont="1" applyFill="1"/>
    <xf numFmtId="167" fontId="0" fillId="2" borderId="0" xfId="1" applyNumberFormat="1" applyFont="1" applyFill="1"/>
    <xf numFmtId="169" fontId="0" fillId="2" borderId="0" xfId="1" applyNumberFormat="1" applyFont="1" applyFill="1"/>
    <xf numFmtId="10" fontId="0" fillId="2" borderId="0" xfId="2" applyNumberFormat="1" applyFont="1" applyFill="1"/>
    <xf numFmtId="10" fontId="0" fillId="2" borderId="2" xfId="2" applyNumberFormat="1" applyFont="1" applyFill="1" applyBorder="1" applyAlignment="1">
      <alignment horizontal="right"/>
    </xf>
    <xf numFmtId="170" fontId="0" fillId="2" borderId="0" xfId="1" applyNumberFormat="1" applyFont="1" applyFill="1"/>
    <xf numFmtId="0" fontId="2" fillId="2" borderId="0" xfId="0" applyFont="1" applyFill="1"/>
    <xf numFmtId="171" fontId="0" fillId="2" borderId="0" xfId="2" applyNumberFormat="1" applyFont="1" applyFill="1"/>
    <xf numFmtId="8" fontId="3" fillId="2" borderId="0" xfId="0" applyNumberFormat="1" applyFont="1" applyFill="1"/>
    <xf numFmtId="164" fontId="0" fillId="2" borderId="0" xfId="2" applyNumberFormat="1" applyFont="1" applyFill="1"/>
    <xf numFmtId="9" fontId="0" fillId="2" borderId="0" xfId="2" applyFont="1" applyFill="1"/>
    <xf numFmtId="168" fontId="0" fillId="2" borderId="0" xfId="1" applyNumberFormat="1" applyFont="1" applyFill="1"/>
    <xf numFmtId="166" fontId="0" fillId="2" borderId="1" xfId="1" applyNumberFormat="1" applyFont="1" applyFill="1" applyBorder="1" applyAlignment="1">
      <alignment horizontal="left"/>
    </xf>
    <xf numFmtId="166" fontId="0" fillId="2" borderId="9" xfId="1" applyNumberFormat="1" applyFont="1" applyFill="1" applyBorder="1"/>
    <xf numFmtId="166" fontId="0" fillId="2" borderId="0" xfId="1" applyNumberFormat="1" applyFont="1" applyFill="1" applyBorder="1"/>
    <xf numFmtId="166" fontId="0" fillId="2" borderId="10" xfId="1" applyNumberFormat="1" applyFont="1" applyFill="1" applyBorder="1"/>
    <xf numFmtId="166" fontId="0" fillId="2" borderId="2" xfId="1" applyNumberFormat="1" applyFont="1" applyFill="1" applyBorder="1" applyAlignment="1">
      <alignment horizontal="left"/>
    </xf>
    <xf numFmtId="169" fontId="0" fillId="2" borderId="0" xfId="0" applyNumberFormat="1" applyFont="1" applyFill="1"/>
    <xf numFmtId="170" fontId="0" fillId="2" borderId="0" xfId="0" applyNumberFormat="1" applyFont="1" applyFill="1"/>
    <xf numFmtId="171" fontId="0" fillId="2" borderId="0" xfId="0" applyNumberFormat="1" applyFont="1" applyFill="1"/>
    <xf numFmtId="172" fontId="0" fillId="2" borderId="0" xfId="0" applyNumberFormat="1" applyFont="1" applyFill="1"/>
    <xf numFmtId="166" fontId="0" fillId="2" borderId="5" xfId="0" applyNumberFormat="1" applyFont="1" applyFill="1" applyBorder="1"/>
    <xf numFmtId="43" fontId="0" fillId="2" borderId="0" xfId="0" applyNumberFormat="1" applyFont="1" applyFill="1"/>
    <xf numFmtId="173" fontId="0" fillId="2" borderId="0" xfId="0" applyNumberFormat="1" applyFont="1" applyFill="1"/>
    <xf numFmtId="174" fontId="0" fillId="2" borderId="0" xfId="0" applyNumberFormat="1" applyFont="1" applyFill="1"/>
    <xf numFmtId="168" fontId="0" fillId="2" borderId="0" xfId="0" applyNumberFormat="1" applyFont="1" applyFill="1"/>
    <xf numFmtId="6" fontId="0" fillId="2" borderId="0" xfId="0" applyNumberFormat="1" applyFont="1" applyFill="1"/>
    <xf numFmtId="0" fontId="0" fillId="2" borderId="4" xfId="0" applyFont="1" applyFill="1" applyBorder="1"/>
    <xf numFmtId="0" fontId="0" fillId="2" borderId="5" xfId="0" applyFont="1" applyFill="1" applyBorder="1"/>
    <xf numFmtId="169" fontId="0" fillId="2" borderId="9" xfId="0" applyNumberFormat="1" applyFont="1" applyFill="1" applyBorder="1"/>
    <xf numFmtId="0" fontId="0" fillId="2" borderId="2" xfId="0" applyFont="1" applyFill="1" applyBorder="1" applyAlignment="1">
      <alignment horizontal="left"/>
    </xf>
    <xf numFmtId="169" fontId="0" fillId="2" borderId="10" xfId="0" applyNumberFormat="1" applyFont="1" applyFill="1" applyBorder="1"/>
    <xf numFmtId="0" fontId="0" fillId="2" borderId="13" xfId="0" applyFont="1" applyFill="1" applyBorder="1" applyAlignment="1">
      <alignment horizontal="left"/>
    </xf>
    <xf numFmtId="169" fontId="0" fillId="2" borderId="3" xfId="0" applyNumberFormat="1" applyFont="1" applyFill="1" applyBorder="1"/>
    <xf numFmtId="16" fontId="0" fillId="2" borderId="0" xfId="0" applyNumberFormat="1" applyFont="1" applyFill="1"/>
    <xf numFmtId="169" fontId="0" fillId="2" borderId="0" xfId="1" applyNumberFormat="1" applyFont="1" applyFill="1" applyAlignment="1">
      <alignment horizontal="center"/>
    </xf>
    <xf numFmtId="9" fontId="0" fillId="2" borderId="0" xfId="2" applyFont="1" applyFill="1" applyAlignment="1">
      <alignment horizontal="center"/>
    </xf>
    <xf numFmtId="9" fontId="0" fillId="2" borderId="0" xfId="2" applyFont="1" applyFill="1" applyBorder="1" applyAlignment="1">
      <alignment horizontal="center"/>
    </xf>
    <xf numFmtId="175" fontId="0" fillId="2" borderId="0" xfId="2" applyNumberFormat="1" applyFont="1" applyFill="1"/>
    <xf numFmtId="168" fontId="0" fillId="2" borderId="0" xfId="1" applyNumberFormat="1" applyFont="1" applyFill="1" applyAlignment="1">
      <alignment horizontal="center"/>
    </xf>
    <xf numFmtId="169" fontId="0" fillId="2" borderId="0" xfId="0" applyNumberFormat="1" applyFont="1" applyFill="1" applyAlignment="1">
      <alignment horizontal="center"/>
    </xf>
    <xf numFmtId="169" fontId="0" fillId="2" borderId="5" xfId="0" applyNumberFormat="1" applyFont="1" applyFill="1" applyBorder="1"/>
    <xf numFmtId="168" fontId="0" fillId="2" borderId="0" xfId="0" applyNumberFormat="1" applyFont="1" applyFill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1" xfId="0" applyFont="1" applyFill="1" applyBorder="1"/>
    <xf numFmtId="0" fontId="0" fillId="2" borderId="8" xfId="0" applyFont="1" applyFill="1" applyBorder="1"/>
    <xf numFmtId="0" fontId="0" fillId="2" borderId="10" xfId="0" applyFont="1" applyFill="1" applyBorder="1"/>
    <xf numFmtId="0" fontId="0" fillId="2" borderId="12" xfId="0" applyFont="1" applyFill="1" applyBorder="1"/>
    <xf numFmtId="0" fontId="0" fillId="2" borderId="14" xfId="0" applyFont="1" applyFill="1" applyBorder="1"/>
    <xf numFmtId="3" fontId="0" fillId="2" borderId="0" xfId="0" applyNumberFormat="1" applyFont="1" applyFill="1"/>
    <xf numFmtId="0" fontId="20" fillId="2" borderId="0" xfId="0" applyFont="1" applyFill="1"/>
    <xf numFmtId="169" fontId="20" fillId="2" borderId="0" xfId="0" applyNumberFormat="1" applyFont="1" applyFill="1"/>
    <xf numFmtId="175" fontId="20" fillId="2" borderId="0" xfId="2" applyNumberFormat="1" applyFont="1" applyFill="1"/>
    <xf numFmtId="9" fontId="20" fillId="2" borderId="0" xfId="2" applyFont="1" applyFill="1"/>
    <xf numFmtId="166" fontId="0" fillId="2" borderId="0" xfId="1" applyNumberFormat="1" applyFont="1" applyFill="1" applyAlignment="1">
      <alignment horizontal="center"/>
    </xf>
    <xf numFmtId="166" fontId="0" fillId="2" borderId="0" xfId="1" applyNumberFormat="1" applyFont="1" applyFill="1" applyAlignment="1">
      <alignment vertical="center"/>
    </xf>
    <xf numFmtId="176" fontId="0" fillId="2" borderId="0" xfId="1" applyNumberFormat="1" applyFont="1" applyFill="1" applyAlignment="1">
      <alignment horizontal="center"/>
    </xf>
    <xf numFmtId="165" fontId="0" fillId="2" borderId="0" xfId="1" applyNumberFormat="1" applyFont="1" applyFill="1"/>
    <xf numFmtId="166" fontId="0" fillId="2" borderId="2" xfId="1" applyNumberFormat="1" applyFont="1" applyFill="1" applyBorder="1" applyAlignment="1">
      <alignment horizontal="center"/>
    </xf>
    <xf numFmtId="177" fontId="0" fillId="2" borderId="0" xfId="2" applyNumberFormat="1" applyFont="1" applyFill="1"/>
    <xf numFmtId="10" fontId="0" fillId="2" borderId="13" xfId="2" applyNumberFormat="1" applyFont="1" applyFill="1" applyBorder="1" applyAlignment="1">
      <alignment horizontal="center"/>
    </xf>
    <xf numFmtId="0" fontId="0" fillId="2" borderId="7" xfId="0" applyFont="1" applyFill="1" applyBorder="1"/>
    <xf numFmtId="43" fontId="0" fillId="2" borderId="9" xfId="0" applyNumberFormat="1" applyFont="1" applyFill="1" applyBorder="1"/>
    <xf numFmtId="164" fontId="0" fillId="2" borderId="0" xfId="0" applyNumberFormat="1" applyFont="1" applyFill="1"/>
    <xf numFmtId="43" fontId="0" fillId="2" borderId="3" xfId="0" applyNumberFormat="1" applyFont="1" applyFill="1" applyBorder="1"/>
    <xf numFmtId="0" fontId="0" fillId="2" borderId="11" xfId="0" applyFont="1" applyFill="1" applyBorder="1"/>
    <xf numFmtId="9" fontId="0" fillId="2" borderId="2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43" fontId="0" fillId="2" borderId="5" xfId="0" applyNumberFormat="1" applyFont="1" applyFill="1" applyBorder="1"/>
    <xf numFmtId="9" fontId="0" fillId="2" borderId="5" xfId="0" applyNumberFormat="1" applyFont="1" applyFill="1" applyBorder="1"/>
    <xf numFmtId="10" fontId="0" fillId="2" borderId="14" xfId="0" applyNumberFormat="1" applyFont="1" applyFill="1" applyBorder="1"/>
    <xf numFmtId="169" fontId="0" fillId="2" borderId="0" xfId="0" applyNumberFormat="1" applyFont="1" applyFill="1" applyBorder="1"/>
    <xf numFmtId="0" fontId="0" fillId="2" borderId="0" xfId="0" applyFont="1" applyFill="1" applyBorder="1"/>
    <xf numFmtId="10" fontId="0" fillId="2" borderId="0" xfId="0" applyNumberFormat="1" applyFont="1" applyFill="1" applyBorder="1"/>
    <xf numFmtId="9" fontId="0" fillId="2" borderId="0" xfId="0" applyNumberFormat="1" applyFont="1" applyFill="1" applyBorder="1"/>
    <xf numFmtId="0" fontId="0" fillId="2" borderId="15" xfId="0" applyFont="1" applyFill="1" applyBorder="1"/>
  </cellXfs>
  <cellStyles count="4">
    <cellStyle name="Comma" xfId="1" builtinId="3"/>
    <cellStyle name="Hyperlink" xfId="3" builtinId="8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3DAFDF"/>
      <color rgb="FF0F4E72"/>
      <color rgb="FF0096FF"/>
      <color rgb="FFFBFBFB"/>
      <color rgb="FFFF2600"/>
      <color rgb="FFFF3D02"/>
      <color rgb="FFF03C04"/>
      <color rgb="FFE97800"/>
      <color rgb="FFFF6900"/>
      <color rgb="FF8E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'Estate &amp; Risk Plan'!$H$158</c:f>
              <c:strCache>
                <c:ptCount val="1"/>
                <c:pt idx="0">
                  <c:v>Disability Cover 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20000"/>
                    <a:lumOff val="80000"/>
                  </a:schemeClr>
                </a:gs>
                <a:gs pos="49000">
                  <a:srgbClr val="002060"/>
                </a:gs>
                <a:gs pos="100000">
                  <a:srgbClr val="0096FF"/>
                </a:gs>
              </a:gsLst>
              <a:lin ang="16200000" scaled="1"/>
            </a:gradFill>
            <a:ln>
              <a:noFill/>
            </a:ln>
          </c:spPr>
          <c:dPt>
            <c:idx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49000">
                    <a:srgbClr val="002060"/>
                  </a:gs>
                  <a:gs pos="100000">
                    <a:srgbClr val="0096FF"/>
                  </a:gs>
                </a:gsLst>
                <a:lin ang="16200000" scaled="1"/>
              </a:gra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322-1545-9FE1-4F3263BA6195}"/>
              </c:ext>
            </c:extLst>
          </c:dPt>
          <c:dLbls>
            <c:dLbl>
              <c:idx val="0"/>
              <c:layout>
                <c:manualLayout>
                  <c:x val="6.8285110441954847E-3"/>
                  <c:y val="-0.43954725382510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22-1545-9FE1-4F3263BA61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Arial Rounded MT Bold" panose="020F0704030504030204" pitchFamily="34" charset="77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'Estate &amp; Risk Plan'!$I$158</c:f>
              <c:numCache>
                <c:formatCode>"R"#\ ##0</c:formatCode>
                <c:ptCount val="1"/>
                <c:pt idx="0">
                  <c:v>3800000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2-1545-9FE1-4F3263BA6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>
      <a:outerShdw blurRad="50800" dist="50800" dir="5400000" algn="ctr" rotWithShape="0">
        <a:srgbClr val="000000">
          <a:alpha val="0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'Estate &amp; Risk Plan'!$H$177</c:f>
              <c:strCache>
                <c:ptCount val="1"/>
                <c:pt idx="0">
                  <c:v>Severe Illness Cover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20000"/>
                    <a:lumOff val="80000"/>
                  </a:schemeClr>
                </a:gs>
                <a:gs pos="50000">
                  <a:srgbClr val="002060"/>
                </a:gs>
                <a:gs pos="100000">
                  <a:srgbClr val="0096FF"/>
                </a:gs>
              </a:gsLst>
              <a:lin ang="16200000" scaled="1"/>
              <a:tileRect/>
            </a:gradFill>
            <a:ln>
              <a:noFill/>
            </a:ln>
          </c:spPr>
          <c:dPt>
            <c:idx val="0"/>
            <c:bubble3D val="0"/>
            <c:spPr>
              <a:gradFill flip="none" rotWithShape="1"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50000">
                    <a:srgbClr val="002060"/>
                  </a:gs>
                  <a:gs pos="100000">
                    <a:srgbClr val="0096FF"/>
                  </a:gs>
                </a:gsLst>
                <a:lin ang="16200000" scaled="1"/>
                <a:tileRect/>
              </a:gra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F-7A4C-AB84-B6A66D291915}"/>
              </c:ext>
            </c:extLst>
          </c:dPt>
          <c:dLbls>
            <c:dLbl>
              <c:idx val="0"/>
              <c:layout>
                <c:manualLayout>
                  <c:x val="1.7029828818567491E-3"/>
                  <c:y val="-0.4561132418089886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4F-7A4C-AB84-B6A66D2919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Arial Rounded MT Bold" panose="020F0704030504030204" pitchFamily="34" charset="77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'Estate &amp; Risk Plan'!$I$177</c:f>
              <c:numCache>
                <c:formatCode>"R"#\ ##0</c:formatCode>
                <c:ptCount val="1"/>
                <c:pt idx="0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F-7A4C-AB84-B6A66D291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>
      <a:outerShdw blurRad="50800" dist="50800" dir="5400000" algn="ctr" rotWithShape="0">
        <a:srgbClr val="000000">
          <a:alpha val="0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77966728114338"/>
          <c:y val="1.3572467280659235E-2"/>
          <c:w val="0.56525472238122498"/>
          <c:h val="0.95734367426078526"/>
        </c:manualLayout>
      </c:layout>
      <c:pieChart>
        <c:varyColors val="1"/>
        <c:ser>
          <c:idx val="0"/>
          <c:order val="0"/>
          <c:tx>
            <c:strRef>
              <c:f>'Estate &amp; Risk Plan'!$H$195</c:f>
              <c:strCache>
                <c:ptCount val="1"/>
                <c:pt idx="0">
                  <c:v>Income Protection Before Tax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20000"/>
                    <a:lumOff val="80000"/>
                  </a:schemeClr>
                </a:gs>
                <a:gs pos="50000">
                  <a:srgbClr val="002060"/>
                </a:gs>
                <a:gs pos="100000">
                  <a:srgbClr val="0096FF"/>
                </a:gs>
              </a:gsLst>
              <a:lin ang="5400000" scaled="1"/>
              <a:tileRect/>
            </a:gradFill>
            <a:ln>
              <a:noFill/>
            </a:ln>
          </c:spPr>
          <c:dPt>
            <c:idx val="0"/>
            <c:bubble3D val="0"/>
            <c:spPr>
              <a:gradFill flip="none" rotWithShape="1"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50000">
                    <a:srgbClr val="002060"/>
                  </a:gs>
                  <a:gs pos="100000">
                    <a:srgbClr val="0096FF"/>
                  </a:gs>
                </a:gsLst>
                <a:lin ang="5400000" scaled="1"/>
                <a:tileRect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125-B647-B7BF-FF021BD8BB36}"/>
              </c:ext>
            </c:extLst>
          </c:dPt>
          <c:dLbls>
            <c:dLbl>
              <c:idx val="0"/>
              <c:layout>
                <c:manualLayout>
                  <c:x val="2.3515918993591744E-2"/>
                  <c:y val="-0.47684752741800585"/>
                </c:manualLayout>
              </c:layout>
              <c:dLblPos val="bestFi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6160351320704803"/>
                      <c:h val="0.129460742508505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125-B647-B7BF-FF021BD8BB36}"/>
                </c:ext>
              </c:extLst>
            </c:dLbl>
            <c:spPr>
              <a:noFill/>
              <a:ln>
                <a:noFill/>
              </a:ln>
              <a:effectLst>
                <a:outerShdw dist="38100" sx="1000" sy="1000" algn="tl" rotWithShape="0">
                  <a:prstClr val="black"/>
                </a:outerShdw>
              </a:effectLst>
            </c:spPr>
            <c:txPr>
              <a:bodyPr rot="0" spcFirstLastPara="1" vertOverflow="clip" horzOverflow="clip" vert="horz" wrap="none" lIns="0" tIns="0" rIns="0" bIns="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Arial Rounded MT Bold" panose="020F0704030504030204" pitchFamily="34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'Estate &amp; Risk Plan'!$I$195</c:f>
              <c:numCache>
                <c:formatCode>"R"#\ ##0</c:formatCode>
                <c:ptCount val="1"/>
                <c:pt idx="0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5-B647-B7BF-FF021BD8BB3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D23-7B42-99D0-AFDC03D850D8}"/>
              </c:ext>
            </c:extLst>
          </c:dPt>
          <c:dPt>
            <c:idx val="1"/>
            <c:bubble3D val="0"/>
            <c:explosion val="43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D23-7B42-99D0-AFDC03D850D8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3-7B42-99D0-AFDC03D850D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D23-7B42-99D0-AFDC03D850D8}"/>
              </c:ext>
            </c:extLst>
          </c:dPt>
          <c:dPt>
            <c:idx val="4"/>
            <c:bubble3D val="0"/>
            <c:spPr>
              <a:solidFill>
                <a:srgbClr val="009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D23-7B42-99D0-AFDC03D850D8}"/>
              </c:ext>
            </c:extLst>
          </c:dPt>
          <c:dPt>
            <c:idx val="5"/>
            <c:bubble3D val="0"/>
            <c:spPr>
              <a:gradFill>
                <a:gsLst>
                  <a:gs pos="0">
                    <a:srgbClr val="002060"/>
                  </a:gs>
                  <a:gs pos="50000">
                    <a:schemeClr val="accent1">
                      <a:lumMod val="20000"/>
                      <a:lumOff val="80000"/>
                    </a:schemeClr>
                  </a:gs>
                  <a:gs pos="100000">
                    <a:srgbClr val="002060"/>
                  </a:gs>
                </a:gsLst>
                <a:lin ang="5400000" scaled="1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23-7B42-99D0-AFDC03D850D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23-7B42-99D0-AFDC03D850D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23-7B42-99D0-AFDC03D850D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23-7B42-99D0-AFDC03D850D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23-7B42-99D0-AFDC03D850D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23-7B42-99D0-AFDC03D850D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23-7B42-99D0-AFDC03D850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rgbClr val="0F4E72"/>
                    </a:solidFill>
                    <a:latin typeface="Arial Rounded MT Bold" panose="020F0704030504030204" pitchFamily="34" charset="77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'Estate &amp; Risk Plan'!$H$99:$H$103</c:f>
              <c:strCache>
                <c:ptCount val="5"/>
                <c:pt idx="0">
                  <c:v>Life Cover on Income Required</c:v>
                </c:pt>
                <c:pt idx="1">
                  <c:v>Liabilities to Cover</c:v>
                </c:pt>
                <c:pt idx="2">
                  <c:v>Estate Duty</c:v>
                </c:pt>
                <c:pt idx="3">
                  <c:v>Other Needs</c:v>
                </c:pt>
                <c:pt idx="4">
                  <c:v>Estate Fees</c:v>
                </c:pt>
              </c:strCache>
            </c:strRef>
          </c:cat>
          <c:val>
            <c:numRef>
              <c:f>'Estate &amp; Risk Plan'!$I$99:$I$103</c:f>
              <c:numCache>
                <c:formatCode>"R"#\ ##0</c:formatCode>
                <c:ptCount val="5"/>
                <c:pt idx="0">
                  <c:v>1920000</c:v>
                </c:pt>
                <c:pt idx="1">
                  <c:v>3800000</c:v>
                </c:pt>
                <c:pt idx="2">
                  <c:v>4194365.0341522014</c:v>
                </c:pt>
                <c:pt idx="3">
                  <c:v>250000</c:v>
                </c:pt>
                <c:pt idx="4">
                  <c:v>1728174.8292389964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3-7B42-99D0-AFDC03D85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14"/>
        <c:splitType val="pos"/>
        <c:splitPos val="4"/>
        <c:secondPieSize val="97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Rounded MT Bold" panose="020F0704030504030204" pitchFamily="34" charset="77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Life</a:t>
            </a:r>
            <a:r>
              <a:rPr lang="en-GB" baseline="0"/>
              <a:t> Cover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Data6!$D$34</c:f>
              <c:strCache>
                <c:ptCount val="1"/>
                <c:pt idx="0">
                  <c:v>Discovery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Data6!$E$33:$Y$33</c:f>
              <c:numCache>
                <c:formatCode>General</c:formatCode>
                <c:ptCount val="21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</c:numCache>
            </c:numRef>
          </c:cat>
          <c:val>
            <c:numRef>
              <c:f>Data6!$E$34:$Y$34</c:f>
              <c:numCache>
                <c:formatCode>"R"#\ ##0</c:formatCode>
                <c:ptCount val="21"/>
                <c:pt idx="0">
                  <c:v>10000000</c:v>
                </c:pt>
                <c:pt idx="1">
                  <c:v>10300000</c:v>
                </c:pt>
                <c:pt idx="2">
                  <c:v>10609000</c:v>
                </c:pt>
                <c:pt idx="3">
                  <c:v>10927270</c:v>
                </c:pt>
                <c:pt idx="4">
                  <c:v>11255088.1</c:v>
                </c:pt>
                <c:pt idx="5">
                  <c:v>11592740.743000001</c:v>
                </c:pt>
                <c:pt idx="6">
                  <c:v>11940522.965290001</c:v>
                </c:pt>
                <c:pt idx="7">
                  <c:v>12298738.654248701</c:v>
                </c:pt>
                <c:pt idx="8">
                  <c:v>12667700.813876163</c:v>
                </c:pt>
                <c:pt idx="9">
                  <c:v>13047731.838292448</c:v>
                </c:pt>
                <c:pt idx="10">
                  <c:v>13439163.793441221</c:v>
                </c:pt>
                <c:pt idx="11">
                  <c:v>13842338.707244458</c:v>
                </c:pt>
                <c:pt idx="12">
                  <c:v>14257608.868461791</c:v>
                </c:pt>
                <c:pt idx="13">
                  <c:v>14685337.134515645</c:v>
                </c:pt>
                <c:pt idx="14">
                  <c:v>15125897.248551115</c:v>
                </c:pt>
                <c:pt idx="15">
                  <c:v>15579674.166007649</c:v>
                </c:pt>
                <c:pt idx="16">
                  <c:v>16047064.390987879</c:v>
                </c:pt>
                <c:pt idx="17">
                  <c:v>16528476.322717516</c:v>
                </c:pt>
                <c:pt idx="18">
                  <c:v>17024330.612399042</c:v>
                </c:pt>
                <c:pt idx="19">
                  <c:v>17535060.530771013</c:v>
                </c:pt>
                <c:pt idx="20">
                  <c:v>18061112.346694145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3-2343-9BFB-94A479733E0D}"/>
            </c:ext>
          </c:extLst>
        </c:ser>
        <c:ser>
          <c:idx val="1"/>
          <c:order val="1"/>
          <c:tx>
            <c:strRef>
              <c:f>Data6!$D$35</c:f>
              <c:strCache>
                <c:ptCount val="1"/>
                <c:pt idx="0">
                  <c:v>Brightrock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Data6!$E$33:$Y$33</c:f>
              <c:numCache>
                <c:formatCode>General</c:formatCode>
                <c:ptCount val="21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</c:numCache>
            </c:numRef>
          </c:cat>
          <c:val>
            <c:numRef>
              <c:f>Data6!$E$35:$Y$35</c:f>
              <c:numCache>
                <c:formatCode>"R"#\ ##0</c:formatCode>
                <c:ptCount val="21"/>
                <c:pt idx="0">
                  <c:v>10000000</c:v>
                </c:pt>
                <c:pt idx="1">
                  <c:v>10200000</c:v>
                </c:pt>
                <c:pt idx="2">
                  <c:v>10404000</c:v>
                </c:pt>
                <c:pt idx="3">
                  <c:v>10612080</c:v>
                </c:pt>
                <c:pt idx="4">
                  <c:v>10824321.6</c:v>
                </c:pt>
                <c:pt idx="5">
                  <c:v>11040808.032</c:v>
                </c:pt>
                <c:pt idx="6">
                  <c:v>11261624.192639999</c:v>
                </c:pt>
                <c:pt idx="7">
                  <c:v>11486856.676492799</c:v>
                </c:pt>
                <c:pt idx="8">
                  <c:v>11716593.810022656</c:v>
                </c:pt>
                <c:pt idx="9">
                  <c:v>11950925.686223108</c:v>
                </c:pt>
                <c:pt idx="10">
                  <c:v>12189944.199947571</c:v>
                </c:pt>
                <c:pt idx="11">
                  <c:v>12433743.083946522</c:v>
                </c:pt>
                <c:pt idx="12">
                  <c:v>12682417.945625452</c:v>
                </c:pt>
                <c:pt idx="13">
                  <c:v>12936066.304537961</c:v>
                </c:pt>
                <c:pt idx="14">
                  <c:v>13194787.63062872</c:v>
                </c:pt>
                <c:pt idx="15">
                  <c:v>13458683.383241294</c:v>
                </c:pt>
                <c:pt idx="16">
                  <c:v>13727857.05090612</c:v>
                </c:pt>
                <c:pt idx="17">
                  <c:v>14002414.191924242</c:v>
                </c:pt>
                <c:pt idx="18">
                  <c:v>14282462.475762727</c:v>
                </c:pt>
                <c:pt idx="19">
                  <c:v>14568111.725277981</c:v>
                </c:pt>
                <c:pt idx="20">
                  <c:v>14859473.959783541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83-2343-9BFB-94A479733E0D}"/>
            </c:ext>
          </c:extLst>
        </c:ser>
        <c:ser>
          <c:idx val="2"/>
          <c:order val="2"/>
          <c:tx>
            <c:strRef>
              <c:f>Data6!$D$36</c:f>
              <c:strCache>
                <c:ptCount val="1"/>
                <c:pt idx="0">
                  <c:v>Brightrock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Data6!$E$33:$Y$33</c:f>
              <c:numCache>
                <c:formatCode>General</c:formatCode>
                <c:ptCount val="21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</c:numCache>
            </c:numRef>
          </c:cat>
          <c:val>
            <c:numRef>
              <c:f>Data6!$E$36:$Y$36</c:f>
              <c:numCache>
                <c:formatCode>"R"#\ ##0</c:formatCode>
                <c:ptCount val="21"/>
                <c:pt idx="0">
                  <c:v>10000000</c:v>
                </c:pt>
                <c:pt idx="1">
                  <c:v>10000000</c:v>
                </c:pt>
                <c:pt idx="2">
                  <c:v>10000000</c:v>
                </c:pt>
                <c:pt idx="3">
                  <c:v>10000000</c:v>
                </c:pt>
                <c:pt idx="4">
                  <c:v>10000000</c:v>
                </c:pt>
                <c:pt idx="5">
                  <c:v>10000000</c:v>
                </c:pt>
                <c:pt idx="6">
                  <c:v>10000000</c:v>
                </c:pt>
                <c:pt idx="7">
                  <c:v>10000000</c:v>
                </c:pt>
                <c:pt idx="8">
                  <c:v>10000000</c:v>
                </c:pt>
                <c:pt idx="9">
                  <c:v>10000000</c:v>
                </c:pt>
                <c:pt idx="10">
                  <c:v>10000000</c:v>
                </c:pt>
                <c:pt idx="11">
                  <c:v>10000000</c:v>
                </c:pt>
                <c:pt idx="12">
                  <c:v>10000000</c:v>
                </c:pt>
                <c:pt idx="13">
                  <c:v>10000000</c:v>
                </c:pt>
                <c:pt idx="14">
                  <c:v>10000000</c:v>
                </c:pt>
                <c:pt idx="15">
                  <c:v>10000000</c:v>
                </c:pt>
                <c:pt idx="16">
                  <c:v>10000000</c:v>
                </c:pt>
                <c:pt idx="17">
                  <c:v>10000000</c:v>
                </c:pt>
                <c:pt idx="18">
                  <c:v>10000000</c:v>
                </c:pt>
                <c:pt idx="19">
                  <c:v>10000000</c:v>
                </c:pt>
                <c:pt idx="20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83-2343-9BFB-94A479733E0D}"/>
            </c:ext>
          </c:extLst>
        </c:ser>
        <c:ser>
          <c:idx val="3"/>
          <c:order val="3"/>
          <c:tx>
            <c:strRef>
              <c:f>Data6!$D$37</c:f>
              <c:strCache>
                <c:ptCount val="1"/>
                <c:pt idx="0">
                  <c:v>Brightrock 3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Data6!$E$33:$Y$33</c:f>
              <c:numCache>
                <c:formatCode>General</c:formatCode>
                <c:ptCount val="21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</c:numCache>
            </c:numRef>
          </c:cat>
          <c:val>
            <c:numRef>
              <c:f>Data6!$E$37:$Y$37</c:f>
              <c:numCache>
                <c:formatCode>"R"#\ ##0</c:formatCode>
                <c:ptCount val="21"/>
                <c:pt idx="0">
                  <c:v>10000000</c:v>
                </c:pt>
                <c:pt idx="1">
                  <c:v>10000000</c:v>
                </c:pt>
                <c:pt idx="2">
                  <c:v>10000000</c:v>
                </c:pt>
                <c:pt idx="3">
                  <c:v>10000000</c:v>
                </c:pt>
                <c:pt idx="4">
                  <c:v>10000000</c:v>
                </c:pt>
                <c:pt idx="5">
                  <c:v>10000000</c:v>
                </c:pt>
                <c:pt idx="6">
                  <c:v>10000000</c:v>
                </c:pt>
                <c:pt idx="7">
                  <c:v>10000000</c:v>
                </c:pt>
                <c:pt idx="8">
                  <c:v>10000000</c:v>
                </c:pt>
                <c:pt idx="9">
                  <c:v>10000000</c:v>
                </c:pt>
                <c:pt idx="10">
                  <c:v>10000000</c:v>
                </c:pt>
                <c:pt idx="11">
                  <c:v>10000000</c:v>
                </c:pt>
                <c:pt idx="12">
                  <c:v>10000000</c:v>
                </c:pt>
                <c:pt idx="13">
                  <c:v>10000000</c:v>
                </c:pt>
                <c:pt idx="14">
                  <c:v>10000000</c:v>
                </c:pt>
                <c:pt idx="15">
                  <c:v>10000000</c:v>
                </c:pt>
                <c:pt idx="16">
                  <c:v>10000000</c:v>
                </c:pt>
                <c:pt idx="17">
                  <c:v>10000000</c:v>
                </c:pt>
                <c:pt idx="18">
                  <c:v>10000000</c:v>
                </c:pt>
                <c:pt idx="19">
                  <c:v>10000000</c:v>
                </c:pt>
                <c:pt idx="20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83-2343-9BFB-94A47973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1419759"/>
        <c:axId val="171421407"/>
      </c:barChart>
      <c:catAx>
        <c:axId val="171419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21407"/>
        <c:crosses val="autoZero"/>
        <c:auto val="1"/>
        <c:lblAlgn val="ctr"/>
        <c:lblOffset val="100"/>
        <c:noMultiLvlLbl val="0"/>
      </c:catAx>
      <c:valAx>
        <c:axId val="171421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19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Data2!$J$86</c:f>
              <c:strCache>
                <c:ptCount val="1"/>
                <c:pt idx="0">
                  <c:v>Income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Data2!$K$84:$AD$84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Data2!$K$86:$AD$86</c:f>
              <c:numCache>
                <c:formatCode>"R"#\ ##0</c:formatCode>
                <c:ptCount val="20"/>
                <c:pt idx="0">
                  <c:v>1432908.8053645189</c:v>
                </c:pt>
                <c:pt idx="1">
                  <c:v>1475896.0695254547</c:v>
                </c:pt>
                <c:pt idx="2">
                  <c:v>1520172.9516112183</c:v>
                </c:pt>
                <c:pt idx="3">
                  <c:v>1565778.1401595548</c:v>
                </c:pt>
                <c:pt idx="4">
                  <c:v>1612751.4843643415</c:v>
                </c:pt>
                <c:pt idx="5">
                  <c:v>1661134.0288952715</c:v>
                </c:pt>
                <c:pt idx="6">
                  <c:v>1710968.0497621298</c:v>
                </c:pt>
                <c:pt idx="7">
                  <c:v>1762297.0912549936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F-8E46-A8A8-ECF2CA244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44085168"/>
        <c:axId val="1051311680"/>
      </c:barChart>
      <c:lineChart>
        <c:grouping val="standard"/>
        <c:varyColors val="0"/>
        <c:ser>
          <c:idx val="0"/>
          <c:order val="0"/>
          <c:tx>
            <c:strRef>
              <c:f>Data2!$J$85</c:f>
              <c:strCache>
                <c:ptCount val="1"/>
                <c:pt idx="0">
                  <c:v>Retirement Fund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Data2!$K$84:$AD$84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Data2!$K$85:$AD$85</c:f>
              <c:numCache>
                <c:formatCode>"R"#\ ##0</c:formatCode>
                <c:ptCount val="20"/>
                <c:pt idx="0">
                  <c:v>11155821.647989538</c:v>
                </c:pt>
                <c:pt idx="1">
                  <c:v>9998776.9299195465</c:v>
                </c:pt>
                <c:pt idx="2">
                  <c:v>8761648.7982982397</c:v>
                </c:pt>
                <c:pt idx="3">
                  <c:v>7440654.7157317651</c:v>
                </c:pt>
                <c:pt idx="4">
                  <c:v>6031856.6936197486</c:v>
                </c:pt>
                <c:pt idx="5">
                  <c:v>4531155.3519067196</c:v>
                </c:pt>
                <c:pt idx="6">
                  <c:v>2934283.7617936675</c:v>
                </c:pt>
                <c:pt idx="7">
                  <c:v>1236801.0637173818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F-8E46-A8A8-ECF2CA244E98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1044085168"/>
        <c:axId val="1051311680"/>
      </c:lineChart>
      <c:catAx>
        <c:axId val="104408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1311680"/>
        <c:crosses val="autoZero"/>
        <c:auto val="1"/>
        <c:lblAlgn val="ctr"/>
        <c:lblOffset val="100"/>
        <c:noMultiLvlLbl val="0"/>
      </c:catAx>
      <c:valAx>
        <c:axId val="105131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08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At</a:t>
            </a:r>
            <a:r>
              <a:rPr lang="en-US" baseline="0">
                <a:solidFill>
                  <a:schemeClr val="bg1"/>
                </a:solidFill>
              </a:rPr>
              <a:t> Retirement Options</a:t>
            </a:r>
            <a:endParaRPr lang="en-US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Data2!$J$151</c:f>
              <c:strCache>
                <c:ptCount val="1"/>
                <c:pt idx="0">
                  <c:v> Reinvest 1/3 </c:v>
                </c:pt>
              </c:strCache>
            </c:strRef>
          </c:tx>
          <c:spPr>
            <a:gradFill flip="none" rotWithShape="1">
              <a:gsLst>
                <a:gs pos="0">
                  <a:srgbClr val="00B050">
                    <a:tint val="66000"/>
                    <a:satMod val="160000"/>
                  </a:srgbClr>
                </a:gs>
                <a:gs pos="50000">
                  <a:srgbClr val="00B050">
                    <a:tint val="44500"/>
                    <a:satMod val="160000"/>
                  </a:srgbClr>
                </a:gs>
                <a:gs pos="100000">
                  <a:srgbClr val="00B050">
                    <a:tint val="23500"/>
                    <a:satMod val="160000"/>
                  </a:srgb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762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15-6148-8B7D-CD5721DF4AB6}"/>
              </c:ext>
            </c:extLst>
          </c:dPt>
          <c:cat>
            <c:numRef>
              <c:f>Data2!$K$148:$AD$148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Data2!$K$151:$AD$151</c:f>
              <c:numCache>
                <c:formatCode>_(* #\ ##0_);_(* \(#\ 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5-6148-8B7D-CD5721DF4AB6}"/>
            </c:ext>
          </c:extLst>
        </c:ser>
        <c:ser>
          <c:idx val="4"/>
          <c:order val="4"/>
          <c:tx>
            <c:strRef>
              <c:f>Data2!$J$153</c:f>
              <c:strCache>
                <c:ptCount val="1"/>
                <c:pt idx="0">
                  <c:v>Income</c:v>
                </c:pt>
              </c:strCache>
            </c:strRef>
          </c:tx>
          <c:spPr>
            <a:gradFill flip="none" rotWithShape="1">
              <a:gsLst>
                <a:gs pos="0">
                  <a:srgbClr val="00B050">
                    <a:shade val="30000"/>
                    <a:satMod val="115000"/>
                  </a:srgbClr>
                </a:gs>
                <a:gs pos="50000">
                  <a:srgbClr val="00B050">
                    <a:shade val="67500"/>
                    <a:satMod val="115000"/>
                  </a:srgbClr>
                </a:gs>
                <a:gs pos="100000">
                  <a:srgbClr val="00B05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numRef>
              <c:f>Data2!$K$148:$AD$148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Data2!$K$153:$AD$153</c:f>
              <c:numCache>
                <c:formatCode>"R"#\ 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15-6148-8B7D-CD5721DF4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3900559"/>
        <c:axId val="1354289935"/>
      </c:barChart>
      <c:lineChart>
        <c:grouping val="standard"/>
        <c:varyColors val="0"/>
        <c:ser>
          <c:idx val="0"/>
          <c:order val="0"/>
          <c:tx>
            <c:strRef>
              <c:f>Data2!$J$149</c:f>
              <c:strCache>
                <c:ptCount val="1"/>
              </c:strCache>
            </c:strRef>
          </c:tx>
          <c:spPr>
            <a:ln w="57150" cap="flat">
              <a:solidFill>
                <a:schemeClr val="accent1">
                  <a:lumMod val="40000"/>
                  <a:lumOff val="60000"/>
                </a:schemeClr>
              </a:solidFill>
              <a:prstDash val="solid"/>
              <a:round/>
              <a:headEnd type="diamond"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57150">
                <a:solidFill>
                  <a:schemeClr val="bg1"/>
                </a:solidFill>
                <a:prstDash val="dash"/>
              </a:ln>
              <a:effectLst/>
            </c:spPr>
          </c:marker>
          <c:cat>
            <c:numRef>
              <c:f>Data2!$K$148:$AD$148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Data2!$K$149:$AD$149</c:f>
              <c:numCache>
                <c:formatCode>"R"#\ 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5-6148-8B7D-CD5721DF4AB6}"/>
            </c:ext>
          </c:extLst>
        </c:ser>
        <c:ser>
          <c:idx val="1"/>
          <c:order val="1"/>
          <c:tx>
            <c:strRef>
              <c:f>Data2!$J$150</c:f>
              <c:strCache>
                <c:ptCount val="1"/>
                <c:pt idx="0">
                  <c:v> Maximum Drawdown </c:v>
                </c:pt>
              </c:strCache>
            </c:strRef>
          </c:tx>
          <c:spPr>
            <a:ln w="57150" cap="rnd">
              <a:solidFill>
                <a:schemeClr val="bg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57150">
                <a:solidFill>
                  <a:schemeClr val="bg1"/>
                </a:solidFill>
                <a:prstDash val="dash"/>
              </a:ln>
              <a:effectLst/>
            </c:spPr>
          </c:marker>
          <c:cat>
            <c:numRef>
              <c:f>Data2!$K$148:$AD$148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Data2!$K$150:$AD$150</c:f>
              <c:numCache>
                <c:formatCode>_(* #\ ##0_);_(* \(#\ 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5-6148-8B7D-CD5721DF4AB6}"/>
            </c:ext>
          </c:extLst>
        </c:ser>
        <c:ser>
          <c:idx val="3"/>
          <c:order val="3"/>
          <c:tx>
            <c:strRef>
              <c:f>Data2!$J$152</c:f>
              <c:strCache>
                <c:ptCount val="1"/>
                <c:pt idx="0">
                  <c:v>Used 1/3</c:v>
                </c:pt>
              </c:strCache>
            </c:strRef>
          </c:tx>
          <c:spPr>
            <a:ln w="28575" cap="flat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Data2!$K$148:$AD$148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Data2!$K$152:$AD$152</c:f>
              <c:numCache>
                <c:formatCode>"R"#\ 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15-6148-8B7D-CD5721DF4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900559"/>
        <c:axId val="1354289935"/>
      </c:lineChart>
      <c:catAx>
        <c:axId val="1353900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289935"/>
        <c:crosses val="autoZero"/>
        <c:auto val="1"/>
        <c:lblAlgn val="ctr"/>
        <c:lblOffset val="100"/>
        <c:noMultiLvlLbl val="0"/>
      </c:catAx>
      <c:valAx>
        <c:axId val="135428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\ ##0_);_(* \(#\ 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3900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1"/>
    </a:solidFill>
    <a:ln w="57150" cap="flat" cmpd="sng" algn="ctr">
      <a:solidFill>
        <a:srgbClr val="00B050"/>
      </a:solidFill>
      <a:prstDash val="dash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Income</a:t>
            </a:r>
            <a:r>
              <a:rPr lang="en-US" baseline="0"/>
              <a:t> Drawdown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Data2!$J$195</c:f>
              <c:strCache>
                <c:ptCount val="1"/>
                <c:pt idx="0">
                  <c:v>Tax Free Portion</c:v>
                </c:pt>
              </c:strCache>
            </c:strRef>
          </c:tx>
          <c:spPr>
            <a:gradFill flip="none" rotWithShape="1">
              <a:gsLst>
                <a:gs pos="0">
                  <a:srgbClr val="FFFF00">
                    <a:shade val="30000"/>
                    <a:satMod val="115000"/>
                  </a:srgbClr>
                </a:gs>
                <a:gs pos="50000">
                  <a:srgbClr val="FFFF00">
                    <a:shade val="67500"/>
                    <a:satMod val="115000"/>
                  </a:srgbClr>
                </a:gs>
                <a:gs pos="100000">
                  <a:srgbClr val="FFFF00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  <a:ln w="57150">
              <a:solidFill>
                <a:schemeClr val="bg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 contourW="57150">
              <a:contourClr>
                <a:schemeClr val="bg1"/>
              </a:contourClr>
            </a:sp3d>
          </c:spPr>
          <c:invertIfNegative val="0"/>
          <c:dLbls>
            <c:dLbl>
              <c:idx val="0"/>
              <c:layout>
                <c:manualLayout>
                  <c:x val="4.1530524561824933E-2"/>
                  <c:y val="-3.2253649220378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AC-6D4A-A978-4AAF6F1319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Data2!$K$192:$AD$192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Data2!$K$195:$AD$195</c:f>
              <c:numCache>
                <c:formatCode>General</c:formatCode>
                <c:ptCount val="20"/>
                <c:pt idx="0" formatCode="&quot;R&quot;#\ 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6-9045-8635-874122197479}"/>
            </c:ext>
          </c:extLst>
        </c:ser>
        <c:ser>
          <c:idx val="1"/>
          <c:order val="1"/>
          <c:tx>
            <c:strRef>
              <c:f>Data2!$J$196</c:f>
              <c:strCache>
                <c:ptCount val="1"/>
                <c:pt idx="0">
                  <c:v>Withdrawing 1/3 </c:v>
                </c:pt>
              </c:strCache>
            </c:strRef>
          </c:tx>
          <c:spPr>
            <a:gradFill flip="none" rotWithShape="1">
              <a:gsLst>
                <a:gs pos="0">
                  <a:srgbClr val="FFFF00">
                    <a:shade val="30000"/>
                    <a:satMod val="115000"/>
                  </a:srgbClr>
                </a:gs>
                <a:gs pos="50000">
                  <a:srgbClr val="FFFF00">
                    <a:shade val="67500"/>
                    <a:satMod val="115000"/>
                  </a:srgbClr>
                </a:gs>
                <a:gs pos="100000">
                  <a:srgbClr val="FFFF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 w="57150">
              <a:solidFill>
                <a:schemeClr val="bg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 contourW="57150">
              <a:contourClr>
                <a:schemeClr val="bg1"/>
              </a:contourClr>
            </a:sp3d>
          </c:spPr>
          <c:invertIfNegative val="0"/>
          <c:dLbls>
            <c:dLbl>
              <c:idx val="0"/>
              <c:layout>
                <c:manualLayout>
                  <c:x val="4.3310404185903151E-2"/>
                  <c:y val="-5.09268145584932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96-9045-8635-8741221974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Data2!$K$192:$AD$192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Data2!$K$196:$AD$196</c:f>
              <c:numCache>
                <c:formatCode>General</c:formatCode>
                <c:ptCount val="20"/>
                <c:pt idx="0" formatCode="_(* #\ ##0_);_(* \(#\ 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6-9045-8635-874122197479}"/>
            </c:ext>
          </c:extLst>
        </c:ser>
        <c:ser>
          <c:idx val="2"/>
          <c:order val="2"/>
          <c:tx>
            <c:strRef>
              <c:f>Data2!$J$197</c:f>
              <c:strCache>
                <c:ptCount val="1"/>
                <c:pt idx="0">
                  <c:v>Income</c:v>
                </c:pt>
              </c:strCache>
            </c:strRef>
          </c:tx>
          <c:spPr>
            <a:gradFill flip="none" rotWithShape="1">
              <a:gsLst>
                <a:gs pos="0">
                  <a:srgbClr val="0070C0">
                    <a:shade val="30000"/>
                    <a:satMod val="115000"/>
                  </a:srgbClr>
                </a:gs>
                <a:gs pos="50000">
                  <a:srgbClr val="0070C0">
                    <a:shade val="67500"/>
                    <a:satMod val="115000"/>
                  </a:srgbClr>
                </a:gs>
                <a:gs pos="100000">
                  <a:srgbClr val="0070C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bg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>
              <a:contourClr>
                <a:schemeClr val="bg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Data2!$K$192:$AD$192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Data2!$K$197:$AD$197</c:f>
              <c:numCache>
                <c:formatCode>"R"#\ 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96-9045-8635-8741221974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63942863"/>
        <c:axId val="1308467871"/>
        <c:axId val="0"/>
      </c:bar3DChart>
      <c:catAx>
        <c:axId val="166394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467871"/>
        <c:crosses val="autoZero"/>
        <c:auto val="1"/>
        <c:lblAlgn val="ctr"/>
        <c:lblOffset val="100"/>
        <c:noMultiLvlLbl val="0"/>
      </c:catAx>
      <c:valAx>
        <c:axId val="1308467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3942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1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Risk Planning Chart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800">
              <a:solidFill>
                <a:srgbClr val="002060"/>
              </a:solidFill>
              <a:latin typeface="Arial Rounded MT Bold" panose="020F0704030504030204" pitchFamily="34" charset="77"/>
              <a:ea typeface="Arial Rounded MT Bold" panose="020F0704030504030204" pitchFamily="34" charset="77"/>
              <a:cs typeface="Arial Rounded MT Bold" panose="020F0704030504030204" pitchFamily="34" charset="77"/>
            </a:defRPr>
          </a:pPr>
          <a:r>
            <a:rPr lang="en-GB" sz="1800" b="0" i="0" u="none" strike="noStrike" cap="none" spc="20" baseline="0">
              <a:solidFill>
                <a:srgbClr val="002060"/>
              </a:solidFill>
              <a:latin typeface="Arial Rounded MT Bold" panose="020F0704030504030204" pitchFamily="34" charset="77"/>
            </a:rPr>
            <a:t>Risk Planning Chart</a:t>
          </a:r>
        </a:p>
      </cx:txPr>
    </cx:title>
    <cx:plotArea>
      <cx:plotAreaRegion>
        <cx:series layoutId="waterfall" uniqueId="{F910B0EB-CF5F-D446-A3C6-D567B9285668}">
          <cx:spPr>
            <a:gradFill flip="none" rotWithShape="1">
              <a:gsLst>
                <a:gs pos="0">
                  <a:schemeClr val="accent1">
                    <a:lumMod val="20000"/>
                    <a:lumOff val="80000"/>
                  </a:schemeClr>
                </a:gs>
                <a:gs pos="49000">
                  <a:srgbClr val="002060"/>
                </a:gs>
                <a:gs pos="100000">
                  <a:srgbClr val="0096FF"/>
                </a:gs>
              </a:gsLst>
              <a:lin ang="16200000" scaled="1"/>
              <a:tileRect/>
            </a:gradFill>
          </cx:spPr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600">
                    <a:solidFill>
                      <a:srgbClr val="002060"/>
                    </a:solidFill>
                    <a:latin typeface="Arial Rounded MT Bold" panose="020F0704030504030204" pitchFamily="34" charset="77"/>
                    <a:ea typeface="Arial Rounded MT Bold" panose="020F0704030504030204" pitchFamily="34" charset="77"/>
                    <a:cs typeface="Arial Rounded MT Bold" panose="020F0704030504030204" pitchFamily="34" charset="77"/>
                  </a:defRPr>
                </a:pPr>
                <a:endParaRPr lang="en-GB" sz="1600" b="0" i="0" u="none" strike="noStrike" baseline="0">
                  <a:solidFill>
                    <a:srgbClr val="002060"/>
                  </a:solidFill>
                  <a:latin typeface="Arial Rounded MT Bold" panose="020F0704030504030204" pitchFamily="34" charset="77"/>
                </a:endParaRPr>
              </a:p>
            </cx:txPr>
            <cx:dataLabel idx="6">
              <cx:spPr>
                <a:ln>
                  <a:solidFill>
                    <a:schemeClr val="bg1"/>
                  </a:solidFill>
                </a:ln>
              </cx:spPr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002060"/>
                      </a:solidFill>
                    </a:defRPr>
                  </a:pPr>
                  <a:r>
                    <a:rPr lang="en-GB" sz="1600" b="0" i="0" u="none" strike="noStrike" baseline="0">
                      <a:solidFill>
                        <a:srgbClr val="002060"/>
                      </a:solidFill>
                      <a:latin typeface="Arial Rounded MT Bold" panose="020F0704030504030204" pitchFamily="34" charset="77"/>
                    </a:rPr>
                    <a:t>-R7392 540</a:t>
                  </a:r>
                </a:p>
              </cx:txPr>
            </cx:dataLabel>
          </cx:dataLabels>
          <cx:dataId val="0"/>
          <cx:layoutPr>
            <cx:visibility connectorLines="0"/>
            <cx:subtotals/>
          </cx:layoutPr>
        </cx:series>
      </cx:plotAreaRegion>
      <cx:axis id="0">
        <cx:catScaling gapWidth="0.5"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>
                <a:solidFill>
                  <a:srgbClr val="002060"/>
                </a:solidFill>
                <a:latin typeface="Arial Rounded MT Bold" panose="020F0704030504030204" pitchFamily="34" charset="77"/>
                <a:ea typeface="Arial Rounded MT Bold" panose="020F0704030504030204" pitchFamily="34" charset="77"/>
                <a:cs typeface="Arial Rounded MT Bold" panose="020F0704030504030204" pitchFamily="34" charset="77"/>
              </a:defRPr>
            </a:pPr>
            <a:endParaRPr lang="en-US" sz="1400" b="0" i="0" u="none" strike="noStrike" baseline="0">
              <a:solidFill>
                <a:srgbClr val="002060"/>
              </a:solidFill>
              <a:latin typeface="Arial Rounded MT Bold" panose="020F0704030504030204" pitchFamily="34" charset="77"/>
            </a:endParaRPr>
          </a:p>
        </cx:txPr>
      </cx:axis>
      <cx:axis id="1">
        <cx:valScaling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>
                <a:solidFill>
                  <a:srgbClr val="002060"/>
                </a:solidFill>
                <a:latin typeface="Arial Rounded MT Bold" panose="020F0704030504030204" pitchFamily="34" charset="77"/>
                <a:ea typeface="Arial Rounded MT Bold" panose="020F0704030504030204" pitchFamily="34" charset="77"/>
                <a:cs typeface="Arial Rounded MT Bold" panose="020F0704030504030204" pitchFamily="34" charset="77"/>
              </a:defRPr>
            </a:pPr>
            <a:endParaRPr lang="en-GB" sz="1400" b="0" i="0" u="none" strike="noStrike" baseline="0">
              <a:solidFill>
                <a:srgbClr val="002060"/>
              </a:solidFill>
              <a:latin typeface="Arial Rounded MT Bold" panose="020F0704030504030204" pitchFamily="34" charset="77"/>
            </a:endParaRPr>
          </a:p>
        </cx:txPr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1.xml"/><Relationship Id="rId6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396671</xdr:colOff>
      <xdr:row>123</xdr:row>
      <xdr:rowOff>47035</xdr:rowOff>
    </xdr:from>
    <xdr:to>
      <xdr:col>10</xdr:col>
      <xdr:colOff>2636241</xdr:colOff>
      <xdr:row>142</xdr:row>
      <xdr:rowOff>191182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BA95B081-C343-8E48-BE69-67ACF4B7FC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47671" y="56104835"/>
              <a:ext cx="14342670" cy="85896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113553</xdr:colOff>
      <xdr:row>158</xdr:row>
      <xdr:rowOff>138392</xdr:rowOff>
    </xdr:from>
    <xdr:to>
      <xdr:col>9</xdr:col>
      <xdr:colOff>1066800</xdr:colOff>
      <xdr:row>173</xdr:row>
      <xdr:rowOff>228600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A3F549D4-27DC-0643-BB2F-E70725486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7470</xdr:colOff>
      <xdr:row>176</xdr:row>
      <xdr:rowOff>216646</xdr:rowOff>
    </xdr:from>
    <xdr:to>
      <xdr:col>9</xdr:col>
      <xdr:colOff>1143000</xdr:colOff>
      <xdr:row>191</xdr:row>
      <xdr:rowOff>304800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CE095F3C-EED9-8743-A941-547D67DE3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25401</xdr:colOff>
      <xdr:row>195</xdr:row>
      <xdr:rowOff>328149</xdr:rowOff>
    </xdr:from>
    <xdr:to>
      <xdr:col>9</xdr:col>
      <xdr:colOff>431800</xdr:colOff>
      <xdr:row>209</xdr:row>
      <xdr:rowOff>279400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373D6230-0DF5-1E4A-9DA4-41A001082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200315</xdr:colOff>
      <xdr:row>213</xdr:row>
      <xdr:rowOff>389116</xdr:rowOff>
    </xdr:from>
    <xdr:to>
      <xdr:col>10</xdr:col>
      <xdr:colOff>274562</xdr:colOff>
      <xdr:row>226</xdr:row>
      <xdr:rowOff>272144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75764464-A074-2443-BDF5-C712AC69C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2897188</xdr:colOff>
      <xdr:row>8</xdr:row>
      <xdr:rowOff>180975</xdr:rowOff>
    </xdr:from>
    <xdr:to>
      <xdr:col>10</xdr:col>
      <xdr:colOff>1706563</xdr:colOff>
      <xdr:row>25</xdr:row>
      <xdr:rowOff>170796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02A76E-83CB-D948-A3DC-721CB2C67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07188" y="3838575"/>
          <a:ext cx="8867775" cy="7965421"/>
        </a:xfrm>
        <a:prstGeom prst="rect">
          <a:avLst/>
        </a:prstGeom>
      </xdr:spPr>
    </xdr:pic>
    <xdr:clientData/>
  </xdr:twoCellAnchor>
  <xdr:twoCellAnchor editAs="oneCell">
    <xdr:from>
      <xdr:col>11</xdr:col>
      <xdr:colOff>756145</xdr:colOff>
      <xdr:row>147</xdr:row>
      <xdr:rowOff>412750</xdr:rowOff>
    </xdr:from>
    <xdr:to>
      <xdr:col>14</xdr:col>
      <xdr:colOff>111124</xdr:colOff>
      <xdr:row>151</xdr:row>
      <xdr:rowOff>370821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A2F0D5D-6A1B-CF46-8064-C978498C8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837645" y="67087750"/>
          <a:ext cx="1990229" cy="1736071"/>
        </a:xfrm>
        <a:prstGeom prst="rect">
          <a:avLst/>
        </a:prstGeom>
      </xdr:spPr>
    </xdr:pic>
    <xdr:clientData/>
  </xdr:twoCellAnchor>
  <xdr:twoCellAnchor editAs="oneCell">
    <xdr:from>
      <xdr:col>11</xdr:col>
      <xdr:colOff>677333</xdr:colOff>
      <xdr:row>227</xdr:row>
      <xdr:rowOff>84666</xdr:rowOff>
    </xdr:from>
    <xdr:to>
      <xdr:col>14</xdr:col>
      <xdr:colOff>11145</xdr:colOff>
      <xdr:row>231</xdr:row>
      <xdr:rowOff>63904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372C8F-A4CE-C64C-9709-FDE7EEFFB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864666" y="97959333"/>
          <a:ext cx="2043146" cy="1672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19538</xdr:colOff>
      <xdr:row>77</xdr:row>
      <xdr:rowOff>97317</xdr:rowOff>
    </xdr:from>
    <xdr:to>
      <xdr:col>25</xdr:col>
      <xdr:colOff>0</xdr:colOff>
      <xdr:row>103</xdr:row>
      <xdr:rowOff>39077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52487E-ADD7-C0C6-2D68-5C9930C3E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827741</xdr:colOff>
      <xdr:row>97</xdr:row>
      <xdr:rowOff>142315</xdr:rowOff>
    </xdr:from>
    <xdr:to>
      <xdr:col>22</xdr:col>
      <xdr:colOff>79936</xdr:colOff>
      <xdr:row>122</xdr:row>
      <xdr:rowOff>59764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84D93C-BCD8-D44B-985F-5794355C7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13510</xdr:colOff>
      <xdr:row>154</xdr:row>
      <xdr:rowOff>202388</xdr:rowOff>
    </xdr:from>
    <xdr:to>
      <xdr:col>28</xdr:col>
      <xdr:colOff>635000</xdr:colOff>
      <xdr:row>188</xdr:row>
      <xdr:rowOff>162128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95744D-3319-194E-BF58-3E66E596D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149901</xdr:colOff>
      <xdr:row>202</xdr:row>
      <xdr:rowOff>155591</xdr:rowOff>
    </xdr:from>
    <xdr:to>
      <xdr:col>28</xdr:col>
      <xdr:colOff>590433</xdr:colOff>
      <xdr:row>238</xdr:row>
      <xdr:rowOff>141833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B2252F-E5D1-5144-A01E-8C98B9C55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c/Documents/Retirement%20Numb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4"/>
      <sheetName val="Sheet1"/>
      <sheetName val="Sheet3"/>
    </sheetNames>
    <sheetDataSet>
      <sheetData sheetId="0"/>
      <sheetData sheetId="1">
        <row r="11">
          <cell r="D11">
            <v>20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pieterneethling25@gmail.com" TargetMode="External"/><Relationship Id="rId3" Type="http://schemas.openxmlformats.org/officeDocument/2006/relationships/hyperlink" Target="mailto:Barry@gdirons.co.za" TargetMode="External"/><Relationship Id="rId7" Type="http://schemas.openxmlformats.org/officeDocument/2006/relationships/hyperlink" Target="mailto:office@ecoe.co.za" TargetMode="External"/><Relationship Id="rId2" Type="http://schemas.openxmlformats.org/officeDocument/2006/relationships/hyperlink" Target="mailto:Vanrooyen84@gmail.com" TargetMode="External"/><Relationship Id="rId1" Type="http://schemas.openxmlformats.org/officeDocument/2006/relationships/hyperlink" Target="mailto:Jacques.venter@suninternational.com" TargetMode="External"/><Relationship Id="rId6" Type="http://schemas.openxmlformats.org/officeDocument/2006/relationships/hyperlink" Target="mailto:eerdmann@gew.co.za" TargetMode="External"/><Relationship Id="rId5" Type="http://schemas.openxmlformats.org/officeDocument/2006/relationships/hyperlink" Target="mailto:ianvanwyk@gmail.com" TargetMode="External"/><Relationship Id="rId10" Type="http://schemas.openxmlformats.org/officeDocument/2006/relationships/hyperlink" Target="mailto:bosch@grindprocurent.co.za" TargetMode="External"/><Relationship Id="rId4" Type="http://schemas.openxmlformats.org/officeDocument/2006/relationships/hyperlink" Target="mailto:riaanmeyerlaw@gmail.com" TargetMode="External"/><Relationship Id="rId9" Type="http://schemas.openxmlformats.org/officeDocument/2006/relationships/hyperlink" Target="mailto:angelique.warren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25AA-F13E-8647-8370-A5EC809922A9}">
  <dimension ref="A9:L295"/>
  <sheetViews>
    <sheetView showGridLines="0" tabSelected="1" view="pageBreakPreview" zoomScale="42" zoomScaleNormal="60" zoomScaleSheetLayoutView="50" workbookViewId="0">
      <selection activeCell="H32" sqref="H32"/>
    </sheetView>
  </sheetViews>
  <sheetFormatPr baseColWidth="10" defaultRowHeight="35" x14ac:dyDescent="0.8"/>
  <cols>
    <col min="1" max="5" width="4.33203125" style="16" customWidth="1"/>
    <col min="6" max="6" width="15.6640625" style="16" customWidth="1"/>
    <col min="7" max="7" width="10.83203125" style="16"/>
    <col min="8" max="8" width="76.1640625" style="16" customWidth="1"/>
    <col min="9" max="9" width="24.6640625" style="16" customWidth="1"/>
    <col min="10" max="10" width="31.5" style="16" customWidth="1"/>
    <col min="11" max="11" width="44" style="16" customWidth="1"/>
    <col min="12" max="12" width="13" style="16" customWidth="1"/>
    <col min="13" max="16384" width="10.83203125" style="18"/>
  </cols>
  <sheetData>
    <row r="9" spans="8:8" ht="52" x14ac:dyDescent="0.8">
      <c r="H9" s="17"/>
    </row>
    <row r="32" spans="8:8" ht="88" x14ac:dyDescent="0.8">
      <c r="H32" s="44" t="s">
        <v>248</v>
      </c>
    </row>
    <row r="33" spans="8:8" ht="88" x14ac:dyDescent="0.8">
      <c r="H33" s="19" t="s">
        <v>231</v>
      </c>
    </row>
    <row r="74" spans="8:11" x14ac:dyDescent="0.8">
      <c r="H74" s="20"/>
      <c r="K74" s="20" t="s">
        <v>255</v>
      </c>
    </row>
    <row r="82" spans="8:12" ht="38" x14ac:dyDescent="0.8">
      <c r="H82" s="21" t="s">
        <v>225</v>
      </c>
      <c r="I82" s="22"/>
      <c r="J82" s="22"/>
      <c r="K82" s="22"/>
    </row>
    <row r="83" spans="8:12" ht="38" x14ac:dyDescent="0.8">
      <c r="H83" s="22"/>
      <c r="I83" s="22"/>
      <c r="J83" s="22"/>
      <c r="K83" s="22"/>
    </row>
    <row r="84" spans="8:12" ht="38" x14ac:dyDescent="0.8">
      <c r="H84" s="21" t="s">
        <v>1</v>
      </c>
      <c r="I84" s="22"/>
      <c r="J84" s="22"/>
      <c r="K84" s="22"/>
    </row>
    <row r="85" spans="8:12" ht="38" x14ac:dyDescent="0.8">
      <c r="H85" s="22"/>
      <c r="I85" s="22"/>
      <c r="J85" s="22"/>
      <c r="K85" s="22"/>
    </row>
    <row r="86" spans="8:12" ht="38" x14ac:dyDescent="0.8">
      <c r="H86" s="23" t="s">
        <v>226</v>
      </c>
      <c r="I86" s="23"/>
      <c r="J86" s="23"/>
      <c r="K86" s="23"/>
      <c r="L86" s="24"/>
    </row>
    <row r="87" spans="8:12" x14ac:dyDescent="0.8">
      <c r="H87" s="20"/>
      <c r="I87" s="20"/>
      <c r="J87" s="20"/>
      <c r="K87" s="20"/>
    </row>
    <row r="88" spans="8:12" x14ac:dyDescent="0.8">
      <c r="H88" s="20"/>
      <c r="I88" s="20"/>
      <c r="J88" s="25"/>
      <c r="K88" s="25"/>
      <c r="L88" s="24"/>
    </row>
    <row r="89" spans="8:12" x14ac:dyDescent="0.8">
      <c r="H89" s="43" t="str">
        <f>Data8!B5</f>
        <v>Assets</v>
      </c>
      <c r="I89" s="45">
        <v>30000000</v>
      </c>
      <c r="J89" s="42" t="s">
        <v>249</v>
      </c>
      <c r="K89" s="26"/>
      <c r="L89" s="27"/>
    </row>
    <row r="90" spans="8:12" x14ac:dyDescent="0.8">
      <c r="H90" s="43" t="str">
        <f>Data8!B6</f>
        <v>Liabilities</v>
      </c>
      <c r="I90" s="45">
        <v>3800000</v>
      </c>
      <c r="J90" s="42" t="s">
        <v>250</v>
      </c>
      <c r="K90" s="26"/>
      <c r="L90" s="27"/>
    </row>
    <row r="91" spans="8:12" x14ac:dyDescent="0.8">
      <c r="H91" s="43" t="str">
        <f>Data8!B7</f>
        <v>Current Life Cover</v>
      </c>
      <c r="I91" s="45">
        <v>4500000</v>
      </c>
      <c r="J91" s="42" t="s">
        <v>251</v>
      </c>
      <c r="K91" s="26"/>
      <c r="L91" s="27"/>
    </row>
    <row r="92" spans="8:12" x14ac:dyDescent="0.8">
      <c r="H92" s="43" t="str">
        <f>Data8!B8</f>
        <v>Income Required for dependents</v>
      </c>
      <c r="I92" s="45">
        <v>40000</v>
      </c>
      <c r="J92" s="42" t="s">
        <v>252</v>
      </c>
      <c r="K92" s="26"/>
      <c r="L92" s="27"/>
    </row>
    <row r="93" spans="8:12" x14ac:dyDescent="0.8">
      <c r="H93" s="43" t="str">
        <f>Data8!B9</f>
        <v>Years Income is required</v>
      </c>
      <c r="I93" s="46">
        <v>4</v>
      </c>
      <c r="J93" s="42" t="s">
        <v>253</v>
      </c>
      <c r="K93" s="26"/>
      <c r="L93" s="27"/>
    </row>
    <row r="94" spans="8:12" x14ac:dyDescent="0.8">
      <c r="H94" s="43" t="str">
        <f>Data8!B10</f>
        <v>Funds for education/other family needs</v>
      </c>
      <c r="I94" s="47">
        <v>250000</v>
      </c>
      <c r="J94" s="42" t="s">
        <v>254</v>
      </c>
      <c r="K94" s="26"/>
      <c r="L94" s="27"/>
    </row>
    <row r="95" spans="8:12" x14ac:dyDescent="0.8">
      <c r="H95" s="43" t="s">
        <v>256</v>
      </c>
      <c r="I95" s="47">
        <v>40000</v>
      </c>
      <c r="J95" s="42" t="s">
        <v>251</v>
      </c>
      <c r="K95" s="26"/>
      <c r="L95" s="27"/>
    </row>
    <row r="96" spans="8:12" x14ac:dyDescent="0.8">
      <c r="H96" s="20"/>
      <c r="I96" s="26"/>
      <c r="J96" s="26"/>
      <c r="K96" s="26"/>
      <c r="L96" s="27"/>
    </row>
    <row r="97" spans="8:12" ht="38" x14ac:dyDescent="0.8">
      <c r="H97" s="23" t="s">
        <v>19</v>
      </c>
      <c r="I97" s="23"/>
      <c r="J97" s="20"/>
      <c r="K97" s="20"/>
    </row>
    <row r="98" spans="8:12" x14ac:dyDescent="0.8">
      <c r="H98" s="20"/>
      <c r="I98" s="20"/>
      <c r="J98" s="20"/>
      <c r="K98" s="20"/>
    </row>
    <row r="99" spans="8:12" x14ac:dyDescent="0.8">
      <c r="H99" s="20" t="s">
        <v>227</v>
      </c>
      <c r="I99" s="28">
        <f>I92*I93*12</f>
        <v>1920000</v>
      </c>
      <c r="J99" s="20"/>
      <c r="K99" s="20"/>
    </row>
    <row r="100" spans="8:12" x14ac:dyDescent="0.8">
      <c r="H100" s="20" t="s">
        <v>21</v>
      </c>
      <c r="I100" s="28">
        <f>I90</f>
        <v>3800000</v>
      </c>
      <c r="J100" s="20"/>
      <c r="K100" s="20"/>
    </row>
    <row r="101" spans="8:12" x14ac:dyDescent="0.8">
      <c r="H101" s="20" t="s">
        <v>18</v>
      </c>
      <c r="I101" s="28">
        <f>I119</f>
        <v>4194365.0341522014</v>
      </c>
      <c r="J101" s="20"/>
      <c r="K101" s="20"/>
    </row>
    <row r="102" spans="8:12" x14ac:dyDescent="0.8">
      <c r="H102" s="20" t="s">
        <v>105</v>
      </c>
      <c r="I102" s="28">
        <f>Data8!C10</f>
        <v>250000</v>
      </c>
      <c r="J102" s="20"/>
      <c r="K102" s="20"/>
    </row>
    <row r="103" spans="8:12" x14ac:dyDescent="0.8">
      <c r="H103" s="20" t="s">
        <v>22</v>
      </c>
      <c r="I103" s="28">
        <f>((I113*4.025%)+42000)</f>
        <v>1728174.8292389964</v>
      </c>
      <c r="J103" s="29"/>
      <c r="K103" s="29"/>
      <c r="L103" s="30"/>
    </row>
    <row r="104" spans="8:12" x14ac:dyDescent="0.8">
      <c r="H104" s="20" t="s">
        <v>4</v>
      </c>
      <c r="I104" s="28">
        <f>-I91</f>
        <v>-4500000</v>
      </c>
      <c r="J104" s="20"/>
      <c r="K104" s="20"/>
    </row>
    <row r="105" spans="8:12" x14ac:dyDescent="0.8">
      <c r="H105" s="31" t="str">
        <f>IF(I105&lt;0,"Shortfall","Excess")</f>
        <v>Shortfall</v>
      </c>
      <c r="I105" s="32">
        <f>-(I99+I100+I103+I104+I101+I102)</f>
        <v>-7392539.8633911973</v>
      </c>
      <c r="J105" s="20"/>
      <c r="K105" s="20"/>
    </row>
    <row r="106" spans="8:12" x14ac:dyDescent="0.8">
      <c r="H106" s="20"/>
      <c r="I106" s="33"/>
      <c r="J106" s="20"/>
      <c r="K106" s="29"/>
    </row>
    <row r="107" spans="8:12" x14ac:dyDescent="0.8">
      <c r="H107" s="20"/>
      <c r="I107" s="20"/>
      <c r="J107" s="20"/>
      <c r="K107" s="29"/>
    </row>
    <row r="108" spans="8:12" x14ac:dyDescent="0.8">
      <c r="H108" s="20"/>
      <c r="I108" s="20"/>
      <c r="J108" s="20"/>
      <c r="K108" s="29"/>
    </row>
    <row r="109" spans="8:12" ht="38" x14ac:dyDescent="0.8">
      <c r="H109" s="23" t="s">
        <v>0</v>
      </c>
      <c r="I109" s="23"/>
      <c r="J109" s="20"/>
      <c r="K109" s="29"/>
    </row>
    <row r="110" spans="8:12" x14ac:dyDescent="0.8">
      <c r="H110" s="20"/>
      <c r="I110" s="20"/>
      <c r="J110" s="20"/>
      <c r="K110" s="29"/>
    </row>
    <row r="111" spans="8:12" x14ac:dyDescent="0.8">
      <c r="H111" s="34" t="s">
        <v>10</v>
      </c>
      <c r="I111" s="28">
        <f>Data8!I62</f>
        <v>30000000</v>
      </c>
      <c r="J111" s="20"/>
      <c r="K111" s="20"/>
    </row>
    <row r="112" spans="8:12" x14ac:dyDescent="0.8">
      <c r="H112" s="34" t="s">
        <v>11</v>
      </c>
      <c r="I112" s="28">
        <f>Data8!I63</f>
        <v>11892542.341341527</v>
      </c>
      <c r="J112" s="29"/>
      <c r="K112" s="20"/>
    </row>
    <row r="113" spans="8:11" x14ac:dyDescent="0.8">
      <c r="H113" s="34" t="s">
        <v>12</v>
      </c>
      <c r="I113" s="28">
        <f>Data8!I64</f>
        <v>41892542.341341525</v>
      </c>
      <c r="J113" s="20"/>
      <c r="K113" s="20"/>
    </row>
    <row r="114" spans="8:11" x14ac:dyDescent="0.8">
      <c r="H114" s="34" t="s">
        <v>13</v>
      </c>
      <c r="I114" s="28">
        <f>-Data8!I65</f>
        <v>-17420717.170580521</v>
      </c>
      <c r="J114" s="20"/>
      <c r="K114" s="20"/>
    </row>
    <row r="115" spans="8:11" x14ac:dyDescent="0.8">
      <c r="H115" s="34" t="s">
        <v>14</v>
      </c>
      <c r="I115" s="28">
        <f>Data8!I66</f>
        <v>24471825.170761004</v>
      </c>
      <c r="J115" s="20"/>
      <c r="K115" s="20"/>
    </row>
    <row r="116" spans="8:11" x14ac:dyDescent="0.8">
      <c r="H116" s="34" t="s">
        <v>15</v>
      </c>
      <c r="I116" s="28">
        <f>-Data8!I67</f>
        <v>-3500000</v>
      </c>
      <c r="J116" s="20"/>
      <c r="K116" s="20"/>
    </row>
    <row r="117" spans="8:11" x14ac:dyDescent="0.8">
      <c r="H117" s="35" t="s">
        <v>16</v>
      </c>
      <c r="I117" s="36">
        <f>Data8!I68</f>
        <v>20971825.170761004</v>
      </c>
      <c r="J117" s="20"/>
      <c r="K117" s="20"/>
    </row>
    <row r="118" spans="8:11" x14ac:dyDescent="0.8">
      <c r="H118" s="34"/>
      <c r="I118" s="37"/>
      <c r="J118" s="20"/>
      <c r="K118" s="20"/>
    </row>
    <row r="119" spans="8:11" x14ac:dyDescent="0.8">
      <c r="H119" s="35" t="s">
        <v>18</v>
      </c>
      <c r="I119" s="36">
        <f>Data8!I70</f>
        <v>4194365.0341522014</v>
      </c>
      <c r="J119" s="20"/>
      <c r="K119" s="20"/>
    </row>
    <row r="120" spans="8:11" x14ac:dyDescent="0.8">
      <c r="H120" s="20"/>
      <c r="I120" s="37"/>
      <c r="J120" s="20"/>
      <c r="K120" s="20"/>
    </row>
    <row r="121" spans="8:11" x14ac:dyDescent="0.8">
      <c r="H121" s="38" t="s">
        <v>24</v>
      </c>
      <c r="I121" s="39">
        <f>I112</f>
        <v>11892542.341341527</v>
      </c>
      <c r="J121" s="20"/>
      <c r="K121" s="20"/>
    </row>
    <row r="122" spans="8:11" x14ac:dyDescent="0.8">
      <c r="H122" s="34"/>
      <c r="I122" s="25"/>
      <c r="J122" s="20"/>
      <c r="K122" s="20"/>
    </row>
    <row r="123" spans="8:11" x14ac:dyDescent="0.8">
      <c r="H123" s="34"/>
      <c r="I123" s="29"/>
      <c r="J123" s="20"/>
      <c r="K123" s="20"/>
    </row>
    <row r="124" spans="8:11" x14ac:dyDescent="0.8">
      <c r="H124" s="34"/>
      <c r="I124" s="29"/>
      <c r="J124" s="29"/>
      <c r="K124" s="20"/>
    </row>
    <row r="125" spans="8:11" x14ac:dyDescent="0.8">
      <c r="H125" s="34"/>
      <c r="I125" s="29"/>
      <c r="J125" s="20"/>
      <c r="K125" s="20"/>
    </row>
    <row r="126" spans="8:11" x14ac:dyDescent="0.8">
      <c r="H126" s="34"/>
      <c r="I126" s="29"/>
      <c r="J126" s="20"/>
      <c r="K126" s="20"/>
    </row>
    <row r="127" spans="8:11" x14ac:dyDescent="0.8">
      <c r="H127" s="34"/>
      <c r="I127" s="29"/>
      <c r="J127" s="20"/>
      <c r="K127" s="20"/>
    </row>
    <row r="128" spans="8:11" x14ac:dyDescent="0.8">
      <c r="H128" s="34"/>
      <c r="I128" s="20"/>
      <c r="J128" s="20"/>
      <c r="K128" s="20"/>
    </row>
    <row r="129" spans="8:11" x14ac:dyDescent="0.8">
      <c r="H129" s="34"/>
      <c r="I129" s="29"/>
      <c r="J129" s="20"/>
      <c r="K129" s="20"/>
    </row>
    <row r="130" spans="8:11" x14ac:dyDescent="0.8">
      <c r="H130" s="34"/>
      <c r="I130" s="20"/>
      <c r="J130" s="20"/>
      <c r="K130" s="20"/>
    </row>
    <row r="131" spans="8:11" x14ac:dyDescent="0.8">
      <c r="H131" s="34"/>
      <c r="I131" s="29"/>
      <c r="J131" s="20"/>
      <c r="K131" s="20"/>
    </row>
    <row r="132" spans="8:11" x14ac:dyDescent="0.8">
      <c r="H132" s="20"/>
      <c r="I132" s="20"/>
      <c r="J132" s="20"/>
      <c r="K132" s="20"/>
    </row>
    <row r="133" spans="8:11" x14ac:dyDescent="0.8">
      <c r="H133" s="20"/>
      <c r="I133" s="20"/>
      <c r="J133" s="20"/>
      <c r="K133" s="20"/>
    </row>
    <row r="134" spans="8:11" x14ac:dyDescent="0.8">
      <c r="H134" s="20"/>
      <c r="I134" s="20"/>
      <c r="J134" s="20"/>
      <c r="K134" s="20"/>
    </row>
    <row r="135" spans="8:11" x14ac:dyDescent="0.8">
      <c r="H135" s="20"/>
      <c r="I135" s="20"/>
      <c r="J135" s="20"/>
      <c r="K135" s="20"/>
    </row>
    <row r="136" spans="8:11" x14ac:dyDescent="0.8">
      <c r="H136" s="20"/>
      <c r="I136" s="20"/>
      <c r="J136" s="20"/>
      <c r="K136" s="20"/>
    </row>
    <row r="137" spans="8:11" x14ac:dyDescent="0.8">
      <c r="H137" s="20"/>
      <c r="I137" s="20"/>
      <c r="J137" s="20"/>
      <c r="K137" s="20"/>
    </row>
    <row r="138" spans="8:11" x14ac:dyDescent="0.8">
      <c r="H138" s="20"/>
      <c r="I138" s="20"/>
      <c r="J138" s="20"/>
      <c r="K138" s="20"/>
    </row>
    <row r="139" spans="8:11" x14ac:dyDescent="0.8">
      <c r="H139" s="20"/>
      <c r="I139" s="20"/>
      <c r="J139" s="20"/>
      <c r="K139" s="20"/>
    </row>
    <row r="140" spans="8:11" x14ac:dyDescent="0.8">
      <c r="H140" s="20"/>
      <c r="I140" s="20"/>
      <c r="J140" s="20"/>
      <c r="K140" s="20"/>
    </row>
    <row r="141" spans="8:11" x14ac:dyDescent="0.8">
      <c r="H141" s="20"/>
      <c r="I141" s="20"/>
      <c r="J141" s="20"/>
      <c r="K141" s="20"/>
    </row>
    <row r="142" spans="8:11" x14ac:dyDescent="0.8">
      <c r="H142" s="20"/>
      <c r="I142" s="20"/>
      <c r="J142" s="20"/>
      <c r="K142" s="20"/>
    </row>
    <row r="143" spans="8:11" x14ac:dyDescent="0.8">
      <c r="H143" s="20"/>
      <c r="I143" s="20"/>
      <c r="J143" s="20"/>
      <c r="K143" s="20"/>
    </row>
    <row r="144" spans="8:11" x14ac:dyDescent="0.8">
      <c r="H144" s="20"/>
      <c r="I144" s="20"/>
      <c r="J144" s="20"/>
      <c r="K144" s="20"/>
    </row>
    <row r="145" spans="7:12" x14ac:dyDescent="0.8">
      <c r="H145" s="20"/>
      <c r="I145" s="20"/>
      <c r="J145" s="20"/>
      <c r="K145" s="20"/>
    </row>
    <row r="146" spans="7:12" x14ac:dyDescent="0.8">
      <c r="H146" s="20"/>
      <c r="I146" s="20"/>
      <c r="J146" s="20"/>
      <c r="K146" s="20"/>
    </row>
    <row r="147" spans="7:12" x14ac:dyDescent="0.8">
      <c r="H147" s="20"/>
      <c r="I147" s="20"/>
      <c r="J147" s="20"/>
      <c r="K147" s="20"/>
    </row>
    <row r="148" spans="7:12" x14ac:dyDescent="0.8">
      <c r="H148" s="20"/>
      <c r="I148" s="20"/>
      <c r="J148" s="20"/>
      <c r="K148" s="20"/>
      <c r="L148" s="20"/>
    </row>
    <row r="149" spans="7:12" x14ac:dyDescent="0.8">
      <c r="H149" s="20"/>
      <c r="I149" s="20"/>
      <c r="J149" s="20"/>
      <c r="K149" s="20"/>
      <c r="L149" s="20"/>
    </row>
    <row r="150" spans="7:12" x14ac:dyDescent="0.8">
      <c r="H150" s="20"/>
      <c r="I150" s="20"/>
      <c r="J150" s="20"/>
      <c r="K150" s="20"/>
      <c r="L150" s="20"/>
    </row>
    <row r="151" spans="7:12" x14ac:dyDescent="0.8">
      <c r="G151" s="20" t="str">
        <f>CONCATENATE(H32," ",H33)</f>
        <v>Your Name Estate- and Risk Planning</v>
      </c>
      <c r="H151" s="20"/>
      <c r="I151" s="20"/>
      <c r="J151" s="20"/>
      <c r="K151" s="20"/>
    </row>
    <row r="152" spans="7:12" x14ac:dyDescent="0.8">
      <c r="H152" s="20"/>
      <c r="I152" s="20"/>
      <c r="J152" s="20"/>
      <c r="K152" s="20"/>
    </row>
    <row r="153" spans="7:12" x14ac:dyDescent="0.8">
      <c r="H153" s="20"/>
      <c r="I153" s="20"/>
      <c r="J153" s="20"/>
      <c r="K153" s="20"/>
    </row>
    <row r="154" spans="7:12" x14ac:dyDescent="0.8">
      <c r="H154" s="20"/>
      <c r="I154" s="20"/>
      <c r="J154" s="20"/>
      <c r="K154" s="20"/>
    </row>
    <row r="155" spans="7:12" x14ac:dyDescent="0.8">
      <c r="H155" s="20"/>
      <c r="I155" s="20"/>
      <c r="J155" s="20"/>
      <c r="K155" s="20"/>
    </row>
    <row r="156" spans="7:12" x14ac:dyDescent="0.8">
      <c r="H156" s="20"/>
      <c r="I156" s="20"/>
      <c r="J156" s="20"/>
      <c r="K156" s="20"/>
    </row>
    <row r="157" spans="7:12" x14ac:dyDescent="0.8">
      <c r="H157" s="20"/>
      <c r="I157" s="29"/>
      <c r="J157" s="20"/>
      <c r="K157" s="20"/>
    </row>
    <row r="158" spans="7:12" x14ac:dyDescent="0.8">
      <c r="H158" s="20" t="s">
        <v>26</v>
      </c>
      <c r="I158" s="40">
        <f>Data8!C12</f>
        <v>3800000</v>
      </c>
      <c r="J158" s="20"/>
      <c r="K158" s="20"/>
    </row>
    <row r="159" spans="7:12" x14ac:dyDescent="0.8">
      <c r="H159" s="20"/>
      <c r="I159" s="29"/>
      <c r="J159" s="20"/>
      <c r="K159" s="20"/>
    </row>
    <row r="160" spans="7:12" x14ac:dyDescent="0.8">
      <c r="H160" s="20"/>
      <c r="I160" s="29"/>
      <c r="J160" s="20"/>
      <c r="K160" s="20"/>
    </row>
    <row r="161" spans="8:11" x14ac:dyDescent="0.8">
      <c r="H161" s="20"/>
      <c r="I161" s="29"/>
      <c r="J161" s="20"/>
      <c r="K161" s="20"/>
    </row>
    <row r="162" spans="8:11" x14ac:dyDescent="0.8">
      <c r="H162" s="20"/>
      <c r="I162" s="29"/>
      <c r="J162" s="20"/>
      <c r="K162" s="20"/>
    </row>
    <row r="163" spans="8:11" x14ac:dyDescent="0.8">
      <c r="H163" s="20"/>
      <c r="I163" s="29"/>
      <c r="J163" s="20"/>
      <c r="K163" s="20"/>
    </row>
    <row r="164" spans="8:11" x14ac:dyDescent="0.8">
      <c r="H164" s="20"/>
      <c r="I164" s="29"/>
      <c r="J164" s="20"/>
      <c r="K164" s="20"/>
    </row>
    <row r="165" spans="8:11" x14ac:dyDescent="0.8">
      <c r="H165" s="20"/>
      <c r="I165" s="29"/>
      <c r="J165" s="20"/>
      <c r="K165" s="20"/>
    </row>
    <row r="166" spans="8:11" x14ac:dyDescent="0.8">
      <c r="H166" s="20"/>
      <c r="I166" s="29"/>
      <c r="J166" s="20"/>
      <c r="K166" s="20"/>
    </row>
    <row r="167" spans="8:11" x14ac:dyDescent="0.8">
      <c r="H167" s="20"/>
      <c r="I167" s="29"/>
      <c r="J167" s="20"/>
      <c r="K167" s="20"/>
    </row>
    <row r="168" spans="8:11" x14ac:dyDescent="0.8">
      <c r="H168" s="20"/>
      <c r="I168" s="29"/>
      <c r="J168" s="20"/>
      <c r="K168" s="20"/>
    </row>
    <row r="169" spans="8:11" x14ac:dyDescent="0.8">
      <c r="H169" s="20"/>
      <c r="I169" s="29"/>
      <c r="J169" s="20"/>
      <c r="K169" s="20"/>
    </row>
    <row r="170" spans="8:11" x14ac:dyDescent="0.8">
      <c r="H170" s="20"/>
      <c r="I170" s="29"/>
      <c r="J170" s="20"/>
      <c r="K170" s="20"/>
    </row>
    <row r="171" spans="8:11" x14ac:dyDescent="0.8">
      <c r="H171" s="20"/>
      <c r="I171" s="29"/>
      <c r="J171" s="20"/>
      <c r="K171" s="20"/>
    </row>
    <row r="172" spans="8:11" x14ac:dyDescent="0.8">
      <c r="H172" s="20"/>
      <c r="I172" s="29"/>
      <c r="J172" s="20"/>
      <c r="K172" s="20"/>
    </row>
    <row r="173" spans="8:11" x14ac:dyDescent="0.8">
      <c r="H173" s="20"/>
      <c r="I173" s="29"/>
      <c r="J173" s="20"/>
      <c r="K173" s="20"/>
    </row>
    <row r="174" spans="8:11" x14ac:dyDescent="0.8">
      <c r="H174" s="20"/>
      <c r="I174" s="29"/>
      <c r="J174" s="20"/>
      <c r="K174" s="20"/>
    </row>
    <row r="175" spans="8:11" x14ac:dyDescent="0.8">
      <c r="H175" s="20"/>
      <c r="I175" s="29"/>
      <c r="J175" s="20"/>
      <c r="K175" s="20"/>
    </row>
    <row r="176" spans="8:11" x14ac:dyDescent="0.8">
      <c r="H176" s="20"/>
      <c r="I176" s="29"/>
      <c r="J176" s="20"/>
      <c r="K176" s="20"/>
    </row>
    <row r="177" spans="8:11" x14ac:dyDescent="0.8">
      <c r="H177" s="20" t="s">
        <v>28</v>
      </c>
      <c r="I177" s="40">
        <f>Data8!C13</f>
        <v>500000</v>
      </c>
      <c r="J177" s="20"/>
      <c r="K177" s="20"/>
    </row>
    <row r="178" spans="8:11" x14ac:dyDescent="0.8">
      <c r="H178" s="20"/>
      <c r="I178" s="29"/>
      <c r="J178" s="20"/>
      <c r="K178" s="20"/>
    </row>
    <row r="179" spans="8:11" x14ac:dyDescent="0.8">
      <c r="H179" s="20"/>
      <c r="I179" s="29"/>
      <c r="J179" s="20"/>
      <c r="K179" s="20"/>
    </row>
    <row r="180" spans="8:11" x14ac:dyDescent="0.8">
      <c r="H180" s="20"/>
      <c r="I180" s="29"/>
      <c r="J180" s="20"/>
      <c r="K180" s="20"/>
    </row>
    <row r="181" spans="8:11" x14ac:dyDescent="0.8">
      <c r="H181" s="20"/>
      <c r="I181" s="29"/>
      <c r="J181" s="20"/>
      <c r="K181" s="20"/>
    </row>
    <row r="182" spans="8:11" x14ac:dyDescent="0.8">
      <c r="H182" s="20"/>
      <c r="I182" s="29"/>
      <c r="J182" s="20"/>
      <c r="K182" s="20"/>
    </row>
    <row r="183" spans="8:11" x14ac:dyDescent="0.8">
      <c r="H183" s="20"/>
      <c r="I183" s="29"/>
      <c r="J183" s="20"/>
      <c r="K183" s="20"/>
    </row>
    <row r="184" spans="8:11" x14ac:dyDescent="0.8">
      <c r="H184" s="20"/>
      <c r="I184" s="29"/>
      <c r="J184" s="20"/>
      <c r="K184" s="20"/>
    </row>
    <row r="185" spans="8:11" x14ac:dyDescent="0.8">
      <c r="H185" s="20"/>
      <c r="I185" s="29"/>
      <c r="J185" s="20"/>
      <c r="K185" s="20"/>
    </row>
    <row r="186" spans="8:11" x14ac:dyDescent="0.8">
      <c r="H186" s="20"/>
      <c r="I186" s="29"/>
      <c r="J186" s="20"/>
      <c r="K186" s="20"/>
    </row>
    <row r="187" spans="8:11" x14ac:dyDescent="0.8">
      <c r="H187" s="20"/>
      <c r="I187" s="29"/>
      <c r="J187" s="20"/>
      <c r="K187" s="20"/>
    </row>
    <row r="188" spans="8:11" x14ac:dyDescent="0.8">
      <c r="H188" s="20"/>
      <c r="I188" s="29"/>
      <c r="J188" s="20"/>
      <c r="K188" s="20"/>
    </row>
    <row r="189" spans="8:11" x14ac:dyDescent="0.8">
      <c r="H189" s="20"/>
      <c r="I189" s="29"/>
      <c r="J189" s="20"/>
      <c r="K189" s="20"/>
    </row>
    <row r="190" spans="8:11" x14ac:dyDescent="0.8">
      <c r="H190" s="20"/>
      <c r="I190" s="29"/>
      <c r="J190" s="20"/>
      <c r="K190" s="20"/>
    </row>
    <row r="191" spans="8:11" x14ac:dyDescent="0.8">
      <c r="H191" s="20"/>
      <c r="I191" s="29"/>
      <c r="J191" s="20"/>
      <c r="K191" s="20"/>
    </row>
    <row r="192" spans="8:11" x14ac:dyDescent="0.8">
      <c r="H192" s="20"/>
      <c r="I192" s="29"/>
      <c r="J192" s="20"/>
      <c r="K192" s="20"/>
    </row>
    <row r="193" spans="8:11" x14ac:dyDescent="0.8">
      <c r="H193" s="20"/>
      <c r="I193" s="29"/>
      <c r="J193" s="20"/>
      <c r="K193" s="20"/>
    </row>
    <row r="194" spans="8:11" x14ac:dyDescent="0.8">
      <c r="H194" s="20"/>
      <c r="I194" s="29"/>
      <c r="J194" s="20"/>
      <c r="K194" s="20"/>
    </row>
    <row r="195" spans="8:11" x14ac:dyDescent="0.8">
      <c r="H195" s="20" t="s">
        <v>31</v>
      </c>
      <c r="I195" s="40">
        <f>Data8!C15</f>
        <v>40000</v>
      </c>
      <c r="J195" s="20"/>
      <c r="K195" s="20"/>
    </row>
    <row r="196" spans="8:11" x14ac:dyDescent="0.8">
      <c r="H196" s="20"/>
      <c r="I196" s="20"/>
      <c r="J196" s="20"/>
      <c r="K196" s="20"/>
    </row>
    <row r="197" spans="8:11" x14ac:dyDescent="0.8">
      <c r="H197" s="20"/>
      <c r="I197" s="20"/>
      <c r="J197" s="20"/>
      <c r="K197" s="20"/>
    </row>
    <row r="198" spans="8:11" x14ac:dyDescent="0.8">
      <c r="H198" s="20"/>
      <c r="I198" s="20"/>
      <c r="J198" s="20"/>
      <c r="K198" s="20"/>
    </row>
    <row r="199" spans="8:11" x14ac:dyDescent="0.8">
      <c r="H199" s="20"/>
      <c r="I199" s="20"/>
      <c r="J199" s="20"/>
      <c r="K199" s="20"/>
    </row>
    <row r="200" spans="8:11" x14ac:dyDescent="0.8">
      <c r="H200" s="20"/>
      <c r="I200" s="20"/>
      <c r="J200" s="20"/>
      <c r="K200" s="20"/>
    </row>
    <row r="201" spans="8:11" x14ac:dyDescent="0.8">
      <c r="H201" s="20"/>
      <c r="I201" s="20"/>
      <c r="J201" s="20"/>
      <c r="K201" s="20"/>
    </row>
    <row r="202" spans="8:11" x14ac:dyDescent="0.8">
      <c r="H202" s="20"/>
      <c r="I202" s="20"/>
      <c r="J202" s="20"/>
      <c r="K202" s="20"/>
    </row>
    <row r="203" spans="8:11" x14ac:dyDescent="0.8">
      <c r="H203" s="20"/>
      <c r="I203" s="20"/>
      <c r="J203" s="20"/>
      <c r="K203" s="20"/>
    </row>
    <row r="204" spans="8:11" x14ac:dyDescent="0.8">
      <c r="H204" s="20"/>
      <c r="I204" s="20"/>
      <c r="J204" s="20"/>
      <c r="K204" s="20"/>
    </row>
    <row r="205" spans="8:11" x14ac:dyDescent="0.8">
      <c r="H205" s="20"/>
      <c r="I205" s="20"/>
      <c r="J205" s="20"/>
      <c r="K205" s="20"/>
    </row>
    <row r="206" spans="8:11" x14ac:dyDescent="0.8">
      <c r="H206" s="20"/>
      <c r="I206" s="20"/>
      <c r="J206" s="20"/>
      <c r="K206" s="20"/>
    </row>
    <row r="207" spans="8:11" x14ac:dyDescent="0.8">
      <c r="H207" s="20"/>
      <c r="I207" s="20"/>
      <c r="J207" s="20"/>
      <c r="K207" s="20"/>
    </row>
    <row r="208" spans="8:11" x14ac:dyDescent="0.8">
      <c r="H208" s="20"/>
      <c r="I208" s="20"/>
      <c r="J208" s="20"/>
      <c r="K208" s="20"/>
    </row>
    <row r="209" spans="7:12" x14ac:dyDescent="0.8">
      <c r="H209" s="20"/>
      <c r="I209" s="20"/>
      <c r="J209" s="20"/>
      <c r="K209" s="20"/>
    </row>
    <row r="210" spans="7:12" x14ac:dyDescent="0.8">
      <c r="H210" s="20"/>
      <c r="I210" s="20"/>
      <c r="J210" s="20"/>
      <c r="K210" s="20"/>
    </row>
    <row r="211" spans="7:12" x14ac:dyDescent="0.8">
      <c r="H211" s="20"/>
      <c r="I211" s="20"/>
      <c r="J211" s="20"/>
      <c r="K211" s="20"/>
    </row>
    <row r="212" spans="7:12" x14ac:dyDescent="0.8">
      <c r="H212" s="20"/>
      <c r="I212" s="20"/>
      <c r="J212" s="20"/>
      <c r="K212" s="20"/>
    </row>
    <row r="213" spans="7:12" x14ac:dyDescent="0.8">
      <c r="H213" s="20" t="s">
        <v>89</v>
      </c>
      <c r="I213" s="29">
        <f>I121</f>
        <v>11892542.341341527</v>
      </c>
      <c r="J213" s="20"/>
      <c r="K213" s="20"/>
    </row>
    <row r="214" spans="7:12" x14ac:dyDescent="0.8">
      <c r="H214" s="20"/>
      <c r="I214" s="20"/>
      <c r="J214" s="20"/>
      <c r="K214" s="20"/>
    </row>
    <row r="215" spans="7:12" x14ac:dyDescent="0.8">
      <c r="H215" s="20"/>
      <c r="I215" s="20"/>
      <c r="J215" s="20"/>
      <c r="K215" s="20"/>
    </row>
    <row r="216" spans="7:12" x14ac:dyDescent="0.8">
      <c r="H216" s="20"/>
      <c r="I216" s="20"/>
      <c r="J216" s="20"/>
      <c r="K216" s="20"/>
    </row>
    <row r="217" spans="7:12" x14ac:dyDescent="0.8">
      <c r="H217" s="20"/>
      <c r="I217" s="20"/>
      <c r="J217" s="20"/>
      <c r="K217" s="20"/>
    </row>
    <row r="218" spans="7:12" x14ac:dyDescent="0.8">
      <c r="H218" s="20"/>
      <c r="I218" s="20"/>
      <c r="J218" s="41"/>
      <c r="K218" s="41"/>
      <c r="L218" s="18"/>
    </row>
    <row r="219" spans="7:12" x14ac:dyDescent="0.8">
      <c r="G219" s="18"/>
      <c r="H219" s="41"/>
      <c r="I219" s="41"/>
      <c r="J219" s="41"/>
      <c r="K219" s="41"/>
      <c r="L219" s="18"/>
    </row>
    <row r="220" spans="7:12" x14ac:dyDescent="0.8">
      <c r="G220" s="18"/>
      <c r="H220" s="41"/>
      <c r="I220" s="41"/>
      <c r="J220" s="41"/>
      <c r="K220" s="41"/>
      <c r="L220" s="18"/>
    </row>
    <row r="221" spans="7:12" x14ac:dyDescent="0.8">
      <c r="G221" s="18"/>
      <c r="H221" s="41"/>
      <c r="I221" s="41"/>
      <c r="J221" s="41"/>
      <c r="K221" s="41"/>
      <c r="L221" s="18"/>
    </row>
    <row r="222" spans="7:12" x14ac:dyDescent="0.8">
      <c r="G222" s="18"/>
      <c r="H222" s="41"/>
      <c r="I222" s="41"/>
      <c r="J222" s="41"/>
      <c r="K222" s="41"/>
      <c r="L222" s="18"/>
    </row>
    <row r="223" spans="7:12" x14ac:dyDescent="0.8">
      <c r="G223" s="18"/>
      <c r="H223" s="41"/>
      <c r="I223" s="41"/>
      <c r="J223" s="41"/>
      <c r="K223" s="41"/>
      <c r="L223" s="18"/>
    </row>
    <row r="224" spans="7:12" x14ac:dyDescent="0.8">
      <c r="G224" s="18"/>
      <c r="H224" s="41"/>
      <c r="I224" s="41"/>
      <c r="J224" s="41"/>
      <c r="K224" s="41"/>
      <c r="L224" s="18"/>
    </row>
    <row r="225" spans="7:12" x14ac:dyDescent="0.8">
      <c r="G225" s="18"/>
      <c r="H225" s="41"/>
      <c r="I225" s="41"/>
      <c r="J225" s="41"/>
      <c r="K225" s="41"/>
      <c r="L225" s="18"/>
    </row>
    <row r="226" spans="7:12" x14ac:dyDescent="0.8">
      <c r="G226" s="18"/>
      <c r="H226" s="41"/>
      <c r="I226" s="41"/>
      <c r="J226" s="41"/>
      <c r="K226" s="41"/>
      <c r="L226" s="18"/>
    </row>
    <row r="227" spans="7:12" x14ac:dyDescent="0.8">
      <c r="G227" s="18"/>
      <c r="H227" s="41"/>
      <c r="I227" s="41"/>
      <c r="J227" s="41"/>
      <c r="K227" s="41"/>
      <c r="L227" s="18"/>
    </row>
    <row r="228" spans="7:12" x14ac:dyDescent="0.8">
      <c r="G228" s="18"/>
      <c r="H228" s="41"/>
      <c r="I228" s="41"/>
      <c r="J228" s="18"/>
      <c r="K228" s="18"/>
      <c r="L228" s="18"/>
    </row>
    <row r="229" spans="7:12" x14ac:dyDescent="0.8">
      <c r="G229" s="18"/>
      <c r="H229" s="18"/>
      <c r="I229" s="18"/>
      <c r="J229" s="18"/>
      <c r="K229" s="18"/>
      <c r="L229" s="18"/>
    </row>
    <row r="230" spans="7:12" x14ac:dyDescent="0.8">
      <c r="G230" s="18"/>
      <c r="H230" s="18"/>
      <c r="I230" s="18"/>
      <c r="J230" s="18"/>
      <c r="K230" s="18"/>
      <c r="L230" s="18"/>
    </row>
    <row r="231" spans="7:12" x14ac:dyDescent="0.8">
      <c r="G231" s="20" t="str">
        <f>CONCATENATE(H32," ",H33)</f>
        <v>Your Name Estate- and Risk Planning</v>
      </c>
      <c r="H231" s="18"/>
      <c r="I231" s="18"/>
      <c r="J231" s="18"/>
      <c r="K231" s="18"/>
      <c r="L231" s="18"/>
    </row>
    <row r="232" spans="7:12" x14ac:dyDescent="0.8">
      <c r="G232" s="18"/>
      <c r="H232" s="18"/>
      <c r="I232" s="18"/>
      <c r="J232" s="18"/>
      <c r="K232" s="18"/>
      <c r="L232" s="18"/>
    </row>
    <row r="233" spans="7:12" x14ac:dyDescent="0.8">
      <c r="G233" s="18"/>
      <c r="H233" s="18"/>
      <c r="I233" s="18"/>
      <c r="J233" s="18"/>
      <c r="K233" s="18"/>
      <c r="L233" s="18"/>
    </row>
    <row r="234" spans="7:12" x14ac:dyDescent="0.8">
      <c r="G234" s="18"/>
      <c r="H234" s="18"/>
      <c r="I234" s="18"/>
      <c r="J234" s="18"/>
      <c r="K234" s="18"/>
      <c r="L234" s="18"/>
    </row>
    <row r="235" spans="7:12" x14ac:dyDescent="0.8">
      <c r="G235" s="18"/>
      <c r="H235" s="18"/>
      <c r="I235" s="18"/>
      <c r="J235" s="18"/>
      <c r="K235" s="18"/>
      <c r="L235" s="18"/>
    </row>
    <row r="236" spans="7:12" x14ac:dyDescent="0.8">
      <c r="G236" s="18"/>
      <c r="H236" s="18"/>
      <c r="I236" s="18"/>
      <c r="J236" s="18"/>
      <c r="K236" s="18"/>
      <c r="L236" s="18"/>
    </row>
    <row r="237" spans="7:12" x14ac:dyDescent="0.8">
      <c r="G237" s="18"/>
      <c r="H237" s="18"/>
      <c r="I237" s="18"/>
      <c r="J237" s="18"/>
      <c r="K237" s="18"/>
      <c r="L237" s="18"/>
    </row>
    <row r="238" spans="7:12" x14ac:dyDescent="0.8">
      <c r="G238" s="18"/>
      <c r="H238" s="18"/>
      <c r="I238" s="18"/>
      <c r="J238" s="18"/>
      <c r="K238" s="18"/>
      <c r="L238" s="18"/>
    </row>
    <row r="239" spans="7:12" x14ac:dyDescent="0.8">
      <c r="G239" s="18"/>
      <c r="H239" s="18"/>
      <c r="I239" s="18"/>
      <c r="J239" s="18"/>
      <c r="K239" s="18"/>
      <c r="L239" s="18"/>
    </row>
    <row r="240" spans="7:12" x14ac:dyDescent="0.8">
      <c r="G240" s="18"/>
      <c r="H240" s="18"/>
      <c r="I240" s="18"/>
      <c r="J240" s="18"/>
      <c r="K240" s="18"/>
      <c r="L240" s="18"/>
    </row>
    <row r="241" spans="7:12" x14ac:dyDescent="0.8">
      <c r="G241" s="18"/>
      <c r="H241" s="18"/>
      <c r="I241" s="18"/>
      <c r="J241" s="18"/>
      <c r="K241" s="18"/>
      <c r="L241" s="18"/>
    </row>
    <row r="242" spans="7:12" x14ac:dyDescent="0.8">
      <c r="G242" s="18"/>
      <c r="H242" s="18"/>
      <c r="I242" s="18"/>
      <c r="J242" s="18"/>
      <c r="K242" s="18"/>
      <c r="L242" s="18"/>
    </row>
    <row r="243" spans="7:12" x14ac:dyDescent="0.8">
      <c r="G243" s="18"/>
      <c r="H243" s="18"/>
      <c r="I243" s="18"/>
      <c r="J243" s="18"/>
      <c r="K243" s="18"/>
      <c r="L243" s="18"/>
    </row>
    <row r="244" spans="7:12" x14ac:dyDescent="0.8">
      <c r="G244" s="18"/>
      <c r="H244" s="18"/>
      <c r="I244" s="18"/>
      <c r="J244" s="18"/>
      <c r="K244" s="18"/>
      <c r="L244" s="18"/>
    </row>
    <row r="245" spans="7:12" x14ac:dyDescent="0.8">
      <c r="G245" s="18"/>
      <c r="H245" s="18"/>
      <c r="I245" s="18"/>
      <c r="J245" s="18"/>
      <c r="K245" s="18"/>
      <c r="L245" s="18"/>
    </row>
    <row r="246" spans="7:12" x14ac:dyDescent="0.8">
      <c r="G246" s="18"/>
      <c r="H246" s="18"/>
      <c r="I246" s="18"/>
      <c r="J246" s="18"/>
      <c r="K246" s="18"/>
      <c r="L246" s="18"/>
    </row>
    <row r="247" spans="7:12" x14ac:dyDescent="0.8">
      <c r="G247" s="18"/>
      <c r="H247" s="18"/>
      <c r="I247" s="18"/>
      <c r="J247" s="18"/>
      <c r="K247" s="18"/>
      <c r="L247" s="18"/>
    </row>
    <row r="248" spans="7:12" x14ac:dyDescent="0.8">
      <c r="G248" s="18"/>
      <c r="H248" s="18"/>
      <c r="I248" s="18"/>
      <c r="J248" s="18"/>
      <c r="K248" s="18"/>
      <c r="L248" s="18"/>
    </row>
    <row r="249" spans="7:12" x14ac:dyDescent="0.8">
      <c r="G249" s="18"/>
      <c r="H249" s="18"/>
      <c r="I249" s="18"/>
      <c r="J249" s="18"/>
      <c r="K249" s="18"/>
      <c r="L249" s="18"/>
    </row>
    <row r="250" spans="7:12" x14ac:dyDescent="0.8">
      <c r="G250" s="18"/>
      <c r="H250" s="18"/>
      <c r="I250" s="18"/>
      <c r="J250" s="18"/>
      <c r="K250" s="18"/>
      <c r="L250" s="18"/>
    </row>
    <row r="251" spans="7:12" x14ac:dyDescent="0.8">
      <c r="G251" s="18"/>
      <c r="H251" s="18"/>
      <c r="I251" s="18"/>
      <c r="J251" s="18"/>
      <c r="K251" s="18"/>
      <c r="L251" s="18"/>
    </row>
    <row r="252" spans="7:12" x14ac:dyDescent="0.8">
      <c r="G252" s="18"/>
      <c r="H252" s="18"/>
      <c r="I252" s="18"/>
      <c r="J252" s="18"/>
      <c r="K252" s="18"/>
      <c r="L252" s="18"/>
    </row>
    <row r="253" spans="7:12" x14ac:dyDescent="0.8">
      <c r="G253" s="18"/>
      <c r="H253" s="18"/>
      <c r="I253" s="18"/>
      <c r="J253" s="18"/>
      <c r="K253" s="18"/>
      <c r="L253" s="18"/>
    </row>
    <row r="254" spans="7:12" x14ac:dyDescent="0.8">
      <c r="G254" s="18"/>
      <c r="H254" s="18"/>
      <c r="I254" s="18"/>
      <c r="J254" s="18"/>
      <c r="K254" s="18"/>
      <c r="L254" s="18"/>
    </row>
    <row r="255" spans="7:12" x14ac:dyDescent="0.8">
      <c r="G255" s="18"/>
      <c r="H255" s="18"/>
      <c r="I255" s="18"/>
      <c r="J255" s="18"/>
      <c r="K255" s="18"/>
      <c r="L255" s="18"/>
    </row>
    <row r="256" spans="7:12" x14ac:dyDescent="0.8">
      <c r="G256" s="18"/>
      <c r="H256" s="18"/>
      <c r="I256" s="18"/>
      <c r="J256" s="18"/>
      <c r="K256" s="18"/>
      <c r="L256" s="18"/>
    </row>
    <row r="257" spans="7:12" x14ac:dyDescent="0.8">
      <c r="G257" s="18"/>
      <c r="H257" s="18"/>
      <c r="I257" s="18"/>
      <c r="J257" s="18"/>
      <c r="K257" s="18"/>
      <c r="L257" s="18"/>
    </row>
    <row r="258" spans="7:12" x14ac:dyDescent="0.8">
      <c r="G258" s="18"/>
      <c r="H258" s="18"/>
      <c r="I258" s="18"/>
      <c r="J258" s="18"/>
      <c r="K258" s="18"/>
      <c r="L258" s="18"/>
    </row>
    <row r="259" spans="7:12" x14ac:dyDescent="0.8">
      <c r="G259" s="18"/>
      <c r="H259" s="18"/>
      <c r="I259" s="18"/>
      <c r="J259" s="18"/>
      <c r="K259" s="18"/>
      <c r="L259" s="18"/>
    </row>
    <row r="260" spans="7:12" x14ac:dyDescent="0.8">
      <c r="G260" s="18"/>
      <c r="H260" s="18"/>
      <c r="I260" s="18"/>
      <c r="J260" s="18"/>
      <c r="K260" s="18"/>
      <c r="L260" s="18"/>
    </row>
    <row r="261" spans="7:12" x14ac:dyDescent="0.8">
      <c r="G261" s="18"/>
      <c r="H261" s="18"/>
      <c r="I261" s="18"/>
      <c r="J261" s="18"/>
      <c r="K261" s="18"/>
      <c r="L261" s="18"/>
    </row>
    <row r="262" spans="7:12" x14ac:dyDescent="0.8">
      <c r="G262" s="18"/>
      <c r="H262" s="18"/>
      <c r="I262" s="18"/>
      <c r="J262" s="18"/>
      <c r="K262" s="18"/>
      <c r="L262" s="18"/>
    </row>
    <row r="263" spans="7:12" x14ac:dyDescent="0.8">
      <c r="G263" s="18"/>
      <c r="H263" s="18"/>
      <c r="I263" s="18"/>
      <c r="J263" s="18"/>
      <c r="K263" s="18"/>
      <c r="L263" s="18"/>
    </row>
    <row r="264" spans="7:12" x14ac:dyDescent="0.8">
      <c r="G264" s="18"/>
      <c r="H264" s="18"/>
      <c r="I264" s="18"/>
      <c r="J264" s="18"/>
      <c r="K264" s="18"/>
      <c r="L264" s="18"/>
    </row>
    <row r="265" spans="7:12" x14ac:dyDescent="0.8">
      <c r="G265" s="18"/>
      <c r="H265" s="18"/>
      <c r="I265" s="18"/>
      <c r="J265" s="18"/>
      <c r="K265" s="18"/>
      <c r="L265" s="18"/>
    </row>
    <row r="266" spans="7:12" x14ac:dyDescent="0.8">
      <c r="G266" s="18"/>
      <c r="H266" s="18"/>
      <c r="I266" s="18"/>
      <c r="J266" s="18"/>
      <c r="K266" s="18"/>
      <c r="L266" s="18"/>
    </row>
    <row r="267" spans="7:12" x14ac:dyDescent="0.8">
      <c r="G267" s="18"/>
      <c r="H267" s="18"/>
      <c r="I267" s="18"/>
      <c r="J267" s="18"/>
      <c r="K267" s="18"/>
      <c r="L267" s="18"/>
    </row>
    <row r="268" spans="7:12" x14ac:dyDescent="0.8">
      <c r="G268" s="18"/>
      <c r="H268" s="18"/>
      <c r="I268" s="18"/>
      <c r="J268" s="18"/>
      <c r="K268" s="18"/>
      <c r="L268" s="18"/>
    </row>
    <row r="269" spans="7:12" x14ac:dyDescent="0.8">
      <c r="G269" s="18"/>
      <c r="H269" s="18"/>
      <c r="I269" s="18"/>
      <c r="J269" s="18"/>
      <c r="K269" s="18"/>
      <c r="L269" s="18"/>
    </row>
    <row r="270" spans="7:12" x14ac:dyDescent="0.8">
      <c r="G270" s="18"/>
      <c r="H270" s="18"/>
      <c r="I270" s="18"/>
      <c r="J270" s="18"/>
      <c r="K270" s="18"/>
      <c r="L270" s="18"/>
    </row>
    <row r="271" spans="7:12" x14ac:dyDescent="0.8">
      <c r="G271" s="18"/>
      <c r="H271" s="18"/>
      <c r="I271" s="18"/>
      <c r="J271" s="18"/>
      <c r="K271" s="18"/>
      <c r="L271" s="18"/>
    </row>
    <row r="272" spans="7:12" x14ac:dyDescent="0.8">
      <c r="G272" s="18"/>
      <c r="H272" s="18"/>
      <c r="I272" s="18"/>
      <c r="J272" s="18"/>
      <c r="K272" s="18"/>
      <c r="L272" s="18"/>
    </row>
    <row r="273" spans="7:12" x14ac:dyDescent="0.8">
      <c r="G273" s="18"/>
      <c r="H273" s="18"/>
      <c r="I273" s="18"/>
      <c r="J273" s="18"/>
      <c r="K273" s="18"/>
      <c r="L273" s="18"/>
    </row>
    <row r="274" spans="7:12" x14ac:dyDescent="0.8">
      <c r="G274" s="18"/>
      <c r="H274" s="18"/>
      <c r="I274" s="18"/>
      <c r="J274" s="18"/>
      <c r="K274" s="18"/>
      <c r="L274" s="18"/>
    </row>
    <row r="275" spans="7:12" x14ac:dyDescent="0.8">
      <c r="G275" s="18"/>
      <c r="H275" s="18"/>
      <c r="I275" s="18"/>
      <c r="J275" s="18"/>
      <c r="K275" s="18"/>
      <c r="L275" s="18"/>
    </row>
    <row r="276" spans="7:12" x14ac:dyDescent="0.8">
      <c r="G276" s="18"/>
      <c r="H276" s="18"/>
      <c r="I276" s="18"/>
      <c r="J276" s="18"/>
      <c r="K276" s="18"/>
      <c r="L276" s="18"/>
    </row>
    <row r="277" spans="7:12" x14ac:dyDescent="0.8">
      <c r="G277" s="18"/>
      <c r="H277" s="18"/>
      <c r="I277" s="18"/>
      <c r="J277" s="18"/>
      <c r="K277" s="18"/>
      <c r="L277" s="18"/>
    </row>
    <row r="278" spans="7:12" x14ac:dyDescent="0.8">
      <c r="G278" s="18"/>
      <c r="H278" s="18"/>
      <c r="I278" s="18"/>
      <c r="J278" s="18"/>
      <c r="K278" s="18"/>
      <c r="L278" s="18"/>
    </row>
    <row r="279" spans="7:12" x14ac:dyDescent="0.8">
      <c r="G279" s="18"/>
      <c r="H279" s="18"/>
      <c r="I279" s="18"/>
      <c r="J279" s="18"/>
      <c r="K279" s="18"/>
      <c r="L279" s="18"/>
    </row>
    <row r="280" spans="7:12" x14ac:dyDescent="0.8">
      <c r="G280" s="18"/>
      <c r="H280" s="18"/>
      <c r="I280" s="18"/>
      <c r="J280" s="18"/>
      <c r="K280" s="18"/>
      <c r="L280" s="18"/>
    </row>
    <row r="281" spans="7:12" x14ac:dyDescent="0.8">
      <c r="G281" s="18"/>
      <c r="H281" s="18"/>
      <c r="I281" s="18"/>
      <c r="J281" s="18"/>
      <c r="K281" s="18"/>
      <c r="L281" s="18"/>
    </row>
    <row r="282" spans="7:12" x14ac:dyDescent="0.8">
      <c r="G282" s="18"/>
      <c r="H282" s="18"/>
      <c r="I282" s="18"/>
      <c r="J282" s="18"/>
      <c r="K282" s="18"/>
      <c r="L282" s="18"/>
    </row>
    <row r="283" spans="7:12" x14ac:dyDescent="0.8">
      <c r="G283" s="18"/>
      <c r="H283" s="18"/>
      <c r="I283" s="18"/>
      <c r="J283" s="18"/>
      <c r="K283" s="18"/>
      <c r="L283" s="18"/>
    </row>
    <row r="284" spans="7:12" x14ac:dyDescent="0.8">
      <c r="G284" s="18"/>
      <c r="H284" s="18"/>
      <c r="I284" s="18"/>
      <c r="J284" s="18"/>
      <c r="K284" s="18"/>
      <c r="L284" s="18"/>
    </row>
    <row r="285" spans="7:12" x14ac:dyDescent="0.8">
      <c r="G285" s="18"/>
      <c r="H285" s="18"/>
      <c r="I285" s="18"/>
      <c r="J285" s="18"/>
      <c r="K285" s="18"/>
      <c r="L285" s="18"/>
    </row>
    <row r="286" spans="7:12" x14ac:dyDescent="0.8">
      <c r="G286" s="18"/>
      <c r="H286" s="18"/>
      <c r="I286" s="18"/>
      <c r="J286" s="18"/>
      <c r="K286" s="18"/>
      <c r="L286" s="18"/>
    </row>
    <row r="287" spans="7:12" x14ac:dyDescent="0.8">
      <c r="G287" s="18"/>
      <c r="H287" s="18"/>
      <c r="I287" s="18"/>
      <c r="J287" s="18"/>
      <c r="K287" s="18"/>
      <c r="L287" s="18"/>
    </row>
    <row r="288" spans="7:12" x14ac:dyDescent="0.8">
      <c r="G288" s="18"/>
      <c r="H288" s="18"/>
      <c r="I288" s="18"/>
      <c r="J288" s="18"/>
      <c r="K288" s="18"/>
      <c r="L288" s="18"/>
    </row>
    <row r="289" spans="7:12" x14ac:dyDescent="0.8">
      <c r="G289" s="18"/>
      <c r="H289" s="18"/>
      <c r="I289" s="18"/>
      <c r="J289" s="18"/>
      <c r="K289" s="18"/>
      <c r="L289" s="18"/>
    </row>
    <row r="290" spans="7:12" x14ac:dyDescent="0.8">
      <c r="G290" s="18"/>
      <c r="H290" s="18"/>
      <c r="I290" s="18"/>
      <c r="J290" s="18"/>
      <c r="K290" s="18"/>
      <c r="L290" s="18"/>
    </row>
    <row r="291" spans="7:12" x14ac:dyDescent="0.8">
      <c r="G291" s="18"/>
      <c r="H291" s="18"/>
      <c r="I291" s="18"/>
      <c r="J291" s="18"/>
      <c r="K291" s="18"/>
      <c r="L291" s="18"/>
    </row>
    <row r="292" spans="7:12" x14ac:dyDescent="0.8">
      <c r="G292" s="18"/>
      <c r="H292" s="18"/>
      <c r="I292" s="18"/>
      <c r="J292" s="18"/>
      <c r="K292" s="18"/>
      <c r="L292" s="18"/>
    </row>
    <row r="293" spans="7:12" x14ac:dyDescent="0.8">
      <c r="G293" s="18"/>
      <c r="H293" s="18"/>
      <c r="I293" s="18"/>
      <c r="J293" s="18"/>
      <c r="K293" s="18"/>
      <c r="L293" s="18"/>
    </row>
    <row r="294" spans="7:12" x14ac:dyDescent="0.8">
      <c r="G294" s="18"/>
      <c r="H294" s="18"/>
      <c r="I294" s="18"/>
      <c r="J294" s="18"/>
      <c r="K294" s="18"/>
      <c r="L294" s="18"/>
    </row>
    <row r="295" spans="7:12" x14ac:dyDescent="0.8">
      <c r="G295" s="18"/>
      <c r="H295" s="18"/>
      <c r="I295" s="18"/>
    </row>
  </sheetData>
  <sheetProtection algorithmName="SHA-512" hashValue="6jkHVMXsQBiddDyWeGrKPGb9bNCj5Z4uM2q19bTmNS0vyZplddzRU8Tzb4ilEAFR9/4uRgKJmgvjtAdhlIIMnw==" saltValue="tOtJ7pcWHvhcj4ZzMlnlIg==" spinCount="100000" sheet="1" objects="1" scenarios="1"/>
  <mergeCells count="3">
    <mergeCell ref="H86:K86"/>
    <mergeCell ref="H97:I97"/>
    <mergeCell ref="H109:I109"/>
  </mergeCells>
  <pageMargins left="1" right="1" top="1" bottom="1" header="0.5" footer="0.5"/>
  <pageSetup paperSize="9" scale="26" orientation="portrait" horizontalDpi="0" verticalDpi="0"/>
  <rowBreaks count="2" manualBreakCount="2">
    <brk id="80" max="15" man="1"/>
    <brk id="154" max="1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F967-2C7C-644A-859C-8B20C0C064AC}">
  <dimension ref="D3:AI37"/>
  <sheetViews>
    <sheetView topLeftCell="A7" zoomScale="86" zoomScaleNormal="50" workbookViewId="0">
      <selection sqref="A1:XFD1048576"/>
    </sheetView>
  </sheetViews>
  <sheetFormatPr baseColWidth="10" defaultRowHeight="16" x14ac:dyDescent="0.2"/>
  <cols>
    <col min="1" max="3" width="10.83203125" style="53"/>
    <col min="4" max="4" width="23.5" style="53" customWidth="1"/>
    <col min="5" max="5" width="15.5" style="53" customWidth="1"/>
    <col min="6" max="22" width="15.5" style="53" bestFit="1" customWidth="1"/>
    <col min="23" max="24" width="14.5" style="53" bestFit="1" customWidth="1"/>
    <col min="25" max="26" width="14.83203125" style="53" bestFit="1" customWidth="1"/>
    <col min="27" max="27" width="15.83203125" style="53" customWidth="1"/>
    <col min="28" max="30" width="14.5" style="53" bestFit="1" customWidth="1"/>
    <col min="31" max="31" width="16.5" style="53" customWidth="1"/>
    <col min="32" max="34" width="14.5" style="53" bestFit="1" customWidth="1"/>
    <col min="35" max="35" width="13" style="53" bestFit="1" customWidth="1"/>
    <col min="36" max="16384" width="10.83203125" style="53"/>
  </cols>
  <sheetData>
    <row r="3" spans="4:10" ht="17" thickBot="1" x14ac:dyDescent="0.25"/>
    <row r="4" spans="4:10" x14ac:dyDescent="0.2">
      <c r="D4" s="54" t="s">
        <v>33</v>
      </c>
      <c r="E4" s="55">
        <f>Data8!C20</f>
        <v>28</v>
      </c>
    </row>
    <row r="5" spans="4:10" x14ac:dyDescent="0.2">
      <c r="D5" s="48" t="s">
        <v>35</v>
      </c>
      <c r="E5" s="1">
        <f>Data8!C26</f>
        <v>65</v>
      </c>
      <c r="G5" s="53" t="s">
        <v>51</v>
      </c>
      <c r="J5" s="53">
        <f>[1]Sheet4!D11</f>
        <v>20</v>
      </c>
    </row>
    <row r="6" spans="4:10" x14ac:dyDescent="0.2">
      <c r="D6" s="48" t="s">
        <v>32</v>
      </c>
      <c r="E6" s="1"/>
    </row>
    <row r="7" spans="4:10" x14ac:dyDescent="0.2">
      <c r="D7" s="48" t="s">
        <v>38</v>
      </c>
      <c r="E7" s="1">
        <f>Data8!$C$22</f>
        <v>40000</v>
      </c>
    </row>
    <row r="8" spans="4:10" x14ac:dyDescent="0.2">
      <c r="D8" s="48" t="s">
        <v>34</v>
      </c>
      <c r="E8" s="2"/>
    </row>
    <row r="9" spans="4:10" x14ac:dyDescent="0.2">
      <c r="D9" s="48" t="s">
        <v>36</v>
      </c>
      <c r="E9" s="2"/>
    </row>
    <row r="10" spans="4:10" x14ac:dyDescent="0.2">
      <c r="D10" s="49" t="s">
        <v>41</v>
      </c>
      <c r="E10" s="2">
        <f>Data8!C24</f>
        <v>0.03</v>
      </c>
    </row>
    <row r="11" spans="4:10" x14ac:dyDescent="0.2">
      <c r="D11" s="49" t="s">
        <v>53</v>
      </c>
      <c r="E11" s="56">
        <v>0.05</v>
      </c>
    </row>
    <row r="12" spans="4:10" x14ac:dyDescent="0.2">
      <c r="D12" s="49" t="s">
        <v>54</v>
      </c>
      <c r="E12" s="50"/>
    </row>
    <row r="13" spans="4:10" ht="17" thickBot="1" x14ac:dyDescent="0.25">
      <c r="D13" s="51" t="s">
        <v>55</v>
      </c>
      <c r="E13" s="52"/>
    </row>
    <row r="16" spans="4:10" x14ac:dyDescent="0.2">
      <c r="E16" s="57">
        <f>E7*12</f>
        <v>480000</v>
      </c>
    </row>
    <row r="17" spans="4:35" x14ac:dyDescent="0.2">
      <c r="E17" s="58">
        <f>FV(E10,E5-E4,,-E16)</f>
        <v>1432908.8053645189</v>
      </c>
    </row>
    <row r="20" spans="4:35" x14ac:dyDescent="0.2">
      <c r="E20" s="53">
        <v>65</v>
      </c>
      <c r="F20" s="53">
        <v>66</v>
      </c>
      <c r="G20" s="53">
        <v>67</v>
      </c>
      <c r="H20" s="53">
        <v>68</v>
      </c>
      <c r="I20" s="53">
        <v>69</v>
      </c>
      <c r="J20" s="53">
        <v>70</v>
      </c>
      <c r="K20" s="53">
        <v>71</v>
      </c>
      <c r="L20" s="53">
        <v>72</v>
      </c>
      <c r="M20" s="53">
        <v>73</v>
      </c>
      <c r="N20" s="53">
        <v>74</v>
      </c>
      <c r="O20" s="53">
        <v>75</v>
      </c>
      <c r="P20" s="53">
        <v>76</v>
      </c>
      <c r="Q20" s="53">
        <v>77</v>
      </c>
      <c r="R20" s="53">
        <v>78</v>
      </c>
      <c r="S20" s="53">
        <v>79</v>
      </c>
      <c r="T20" s="53">
        <v>80</v>
      </c>
      <c r="U20" s="53">
        <v>81</v>
      </c>
      <c r="V20" s="53">
        <v>82</v>
      </c>
      <c r="W20" s="53">
        <v>83</v>
      </c>
      <c r="X20" s="53">
        <v>84</v>
      </c>
      <c r="Y20" s="53">
        <v>85</v>
      </c>
      <c r="Z20" s="53">
        <v>86</v>
      </c>
      <c r="AA20" s="53">
        <v>87</v>
      </c>
      <c r="AB20" s="53">
        <v>88</v>
      </c>
      <c r="AC20" s="53">
        <v>89</v>
      </c>
      <c r="AD20" s="53">
        <v>90</v>
      </c>
      <c r="AE20" s="53">
        <v>91</v>
      </c>
      <c r="AF20" s="53">
        <v>92</v>
      </c>
      <c r="AG20" s="53">
        <v>93</v>
      </c>
      <c r="AH20" s="53">
        <v>94</v>
      </c>
      <c r="AI20" s="53">
        <v>95</v>
      </c>
    </row>
    <row r="21" spans="4:35" x14ac:dyDescent="0.2">
      <c r="E21" s="4">
        <f>E17</f>
        <v>1432908.8053645189</v>
      </c>
      <c r="F21" s="4">
        <f>E21*(1+E22)</f>
        <v>1475896.0695254544</v>
      </c>
      <c r="G21" s="4">
        <f t="shared" ref="G21:X21" si="0">F21*(1+F22)</f>
        <v>1520172.951611218</v>
      </c>
      <c r="H21" s="4">
        <f t="shared" si="0"/>
        <v>1565778.1401595545</v>
      </c>
      <c r="I21" s="4">
        <f t="shared" si="0"/>
        <v>1612751.4843643412</v>
      </c>
      <c r="J21" s="4">
        <f t="shared" si="0"/>
        <v>1661134.0288952715</v>
      </c>
      <c r="K21" s="4">
        <f t="shared" si="0"/>
        <v>1710968.0497621296</v>
      </c>
      <c r="L21" s="4">
        <f t="shared" si="0"/>
        <v>1762297.0912549936</v>
      </c>
      <c r="M21" s="4">
        <f t="shared" si="0"/>
        <v>1815166.0039926434</v>
      </c>
      <c r="N21" s="4">
        <f t="shared" si="0"/>
        <v>1869620.9841124227</v>
      </c>
      <c r="O21" s="4">
        <f t="shared" si="0"/>
        <v>1925709.6136357954</v>
      </c>
      <c r="P21" s="4">
        <f t="shared" si="0"/>
        <v>1983480.9020448693</v>
      </c>
      <c r="Q21" s="4">
        <f t="shared" si="0"/>
        <v>2042985.3291062154</v>
      </c>
      <c r="R21" s="4">
        <f t="shared" si="0"/>
        <v>2104274.8889794019</v>
      </c>
      <c r="S21" s="4">
        <f t="shared" si="0"/>
        <v>2167403.1356487842</v>
      </c>
      <c r="T21" s="4">
        <f t="shared" si="0"/>
        <v>2232425.2297182479</v>
      </c>
      <c r="U21" s="4">
        <f t="shared" si="0"/>
        <v>2299397.9866097956</v>
      </c>
      <c r="V21" s="4">
        <f t="shared" si="0"/>
        <v>2368379.9262080896</v>
      </c>
      <c r="W21" s="4">
        <f t="shared" si="0"/>
        <v>2439431.3239943325</v>
      </c>
      <c r="X21" s="4">
        <f t="shared" si="0"/>
        <v>2512614.2637141626</v>
      </c>
      <c r="Y21" s="4">
        <f>X21*(1+X22)</f>
        <v>2587992.6916255876</v>
      </c>
      <c r="Z21" s="4">
        <f>Y21*(1+Y22)</f>
        <v>2665632.4723743554</v>
      </c>
      <c r="AA21" s="4">
        <f t="shared" ref="AA21:AI21" si="1">Z21*(1+Z22)</f>
        <v>2745601.446545586</v>
      </c>
      <c r="AB21" s="4">
        <f t="shared" si="1"/>
        <v>2827969.4899419537</v>
      </c>
      <c r="AC21" s="4">
        <f t="shared" si="1"/>
        <v>2912808.5746402126</v>
      </c>
      <c r="AD21" s="4">
        <f t="shared" si="1"/>
        <v>3000192.8318794188</v>
      </c>
      <c r="AE21" s="4">
        <f t="shared" si="1"/>
        <v>3090198.6168358014</v>
      </c>
      <c r="AF21" s="4">
        <f t="shared" si="1"/>
        <v>3182904.5753408754</v>
      </c>
      <c r="AG21" s="4">
        <f t="shared" si="1"/>
        <v>3278391.712601102</v>
      </c>
      <c r="AH21" s="4">
        <f t="shared" si="1"/>
        <v>3376743.4639791353</v>
      </c>
      <c r="AI21" s="4">
        <f t="shared" si="1"/>
        <v>3478045.7678985093</v>
      </c>
    </row>
    <row r="22" spans="4:35" x14ac:dyDescent="0.2">
      <c r="E22" s="59">
        <f>E10</f>
        <v>0.03</v>
      </c>
      <c r="F22" s="59">
        <f>E22</f>
        <v>0.03</v>
      </c>
      <c r="G22" s="59">
        <f t="shared" ref="G22:AI22" si="2">F22</f>
        <v>0.03</v>
      </c>
      <c r="H22" s="59">
        <f t="shared" si="2"/>
        <v>0.03</v>
      </c>
      <c r="I22" s="59">
        <f t="shared" si="2"/>
        <v>0.03</v>
      </c>
      <c r="J22" s="59">
        <f t="shared" si="2"/>
        <v>0.03</v>
      </c>
      <c r="K22" s="59">
        <f t="shared" si="2"/>
        <v>0.03</v>
      </c>
      <c r="L22" s="59">
        <f t="shared" si="2"/>
        <v>0.03</v>
      </c>
      <c r="M22" s="59">
        <f t="shared" si="2"/>
        <v>0.03</v>
      </c>
      <c r="N22" s="59">
        <f t="shared" si="2"/>
        <v>0.03</v>
      </c>
      <c r="O22" s="59">
        <f t="shared" si="2"/>
        <v>0.03</v>
      </c>
      <c r="P22" s="59">
        <f t="shared" si="2"/>
        <v>0.03</v>
      </c>
      <c r="Q22" s="59">
        <f t="shared" si="2"/>
        <v>0.03</v>
      </c>
      <c r="R22" s="59">
        <f t="shared" si="2"/>
        <v>0.03</v>
      </c>
      <c r="S22" s="59">
        <f t="shared" si="2"/>
        <v>0.03</v>
      </c>
      <c r="T22" s="59">
        <f t="shared" si="2"/>
        <v>0.03</v>
      </c>
      <c r="U22" s="59">
        <f t="shared" si="2"/>
        <v>0.03</v>
      </c>
      <c r="V22" s="59">
        <f t="shared" si="2"/>
        <v>0.03</v>
      </c>
      <c r="W22" s="59">
        <f t="shared" si="2"/>
        <v>0.03</v>
      </c>
      <c r="X22" s="59">
        <f t="shared" si="2"/>
        <v>0.03</v>
      </c>
      <c r="Y22" s="59">
        <f t="shared" si="2"/>
        <v>0.03</v>
      </c>
      <c r="Z22" s="59">
        <f t="shared" si="2"/>
        <v>0.03</v>
      </c>
      <c r="AA22" s="59">
        <f t="shared" si="2"/>
        <v>0.03</v>
      </c>
      <c r="AB22" s="59">
        <f t="shared" si="2"/>
        <v>0.03</v>
      </c>
      <c r="AC22" s="59">
        <f t="shared" si="2"/>
        <v>0.03</v>
      </c>
      <c r="AD22" s="59">
        <f t="shared" si="2"/>
        <v>0.03</v>
      </c>
      <c r="AE22" s="59">
        <f t="shared" si="2"/>
        <v>0.03</v>
      </c>
      <c r="AF22" s="59">
        <f t="shared" si="2"/>
        <v>0.03</v>
      </c>
      <c r="AG22" s="59">
        <f t="shared" si="2"/>
        <v>0.03</v>
      </c>
      <c r="AH22" s="59">
        <f t="shared" si="2"/>
        <v>0.03</v>
      </c>
      <c r="AI22" s="59">
        <f t="shared" si="2"/>
        <v>0.03</v>
      </c>
    </row>
    <row r="23" spans="4:35" x14ac:dyDescent="0.2">
      <c r="E23" s="57">
        <f t="shared" ref="E23:W23" si="3">E21/12</f>
        <v>119409.06711370991</v>
      </c>
      <c r="F23" s="57">
        <f t="shared" si="3"/>
        <v>122991.3391271212</v>
      </c>
      <c r="G23" s="57">
        <f t="shared" si="3"/>
        <v>126681.07930093484</v>
      </c>
      <c r="H23" s="57">
        <f t="shared" si="3"/>
        <v>130481.51167996287</v>
      </c>
      <c r="I23" s="57">
        <f t="shared" si="3"/>
        <v>134395.95703036178</v>
      </c>
      <c r="J23" s="57">
        <f t="shared" si="3"/>
        <v>138427.83574127263</v>
      </c>
      <c r="K23" s="57">
        <f t="shared" si="3"/>
        <v>142580.67081351081</v>
      </c>
      <c r="L23" s="57">
        <f t="shared" si="3"/>
        <v>146858.09093791613</v>
      </c>
      <c r="M23" s="57">
        <f t="shared" si="3"/>
        <v>151263.83366605363</v>
      </c>
      <c r="N23" s="57">
        <f t="shared" si="3"/>
        <v>155801.74867603523</v>
      </c>
      <c r="O23" s="57">
        <f t="shared" si="3"/>
        <v>160475.8011363163</v>
      </c>
      <c r="P23" s="57">
        <f t="shared" si="3"/>
        <v>165290.07517040576</v>
      </c>
      <c r="Q23" s="57">
        <f t="shared" si="3"/>
        <v>170248.77742551794</v>
      </c>
      <c r="R23" s="57">
        <f t="shared" si="3"/>
        <v>175356.24074828348</v>
      </c>
      <c r="S23" s="57">
        <f t="shared" si="3"/>
        <v>180616.92797073201</v>
      </c>
      <c r="T23" s="57">
        <f t="shared" si="3"/>
        <v>186035.43580985398</v>
      </c>
      <c r="U23" s="57">
        <f t="shared" si="3"/>
        <v>191616.49888414962</v>
      </c>
      <c r="V23" s="57">
        <f t="shared" si="3"/>
        <v>197364.99385067413</v>
      </c>
      <c r="W23" s="57">
        <f t="shared" si="3"/>
        <v>203285.94366619436</v>
      </c>
      <c r="X23" s="57">
        <f>X21/12</f>
        <v>209384.52197618023</v>
      </c>
      <c r="Y23" s="57">
        <f>Y21/12</f>
        <v>215666.05763546564</v>
      </c>
      <c r="Z23" s="57">
        <f t="shared" ref="Z23:AI23" si="4">Z21/12</f>
        <v>222136.03936452963</v>
      </c>
      <c r="AA23" s="57">
        <f t="shared" si="4"/>
        <v>228800.1205454655</v>
      </c>
      <c r="AB23" s="57">
        <f t="shared" si="4"/>
        <v>235664.12416182947</v>
      </c>
      <c r="AC23" s="57">
        <f t="shared" si="4"/>
        <v>242734.04788668439</v>
      </c>
      <c r="AD23" s="57">
        <f t="shared" si="4"/>
        <v>250016.0693232849</v>
      </c>
      <c r="AE23" s="57">
        <f t="shared" si="4"/>
        <v>257516.55140298346</v>
      </c>
      <c r="AF23" s="57">
        <f t="shared" si="4"/>
        <v>265242.04794507293</v>
      </c>
      <c r="AG23" s="57">
        <f t="shared" si="4"/>
        <v>273199.30938342516</v>
      </c>
      <c r="AH23" s="57">
        <f t="shared" si="4"/>
        <v>281395.28866492794</v>
      </c>
      <c r="AI23" s="57">
        <f t="shared" si="4"/>
        <v>289837.14732487575</v>
      </c>
    </row>
    <row r="24" spans="4:35" x14ac:dyDescent="0.2">
      <c r="D24" s="58">
        <f>PV(E22,1,-E21,-F24)</f>
        <v>27865207.156748861</v>
      </c>
      <c r="E24" s="60">
        <f>PV(E22,1,-E21,-F24)</f>
        <v>27865207.156748861</v>
      </c>
      <c r="F24" s="60">
        <f>PV(F22,1,-F21,-G24)</f>
        <v>27268254.56608681</v>
      </c>
      <c r="G24" s="60">
        <f t="shared" ref="G24:U24" si="5">PV(G22,1,-G21,-H24)</f>
        <v>26610406.133543961</v>
      </c>
      <c r="H24" s="60">
        <f>PV(H22,1,-H21,-I24)</f>
        <v>25888545.365939058</v>
      </c>
      <c r="I24" s="60">
        <f t="shared" si="5"/>
        <v>25099423.586757675</v>
      </c>
      <c r="J24" s="60">
        <f t="shared" si="5"/>
        <v>24239654.809996065</v>
      </c>
      <c r="K24" s="60">
        <f t="shared" si="5"/>
        <v>23305710.425400674</v>
      </c>
      <c r="L24" s="60">
        <f t="shared" si="5"/>
        <v>22293913.688400567</v>
      </c>
      <c r="M24" s="60">
        <f t="shared" si="5"/>
        <v>21200434.007797591</v>
      </c>
      <c r="N24" s="60">
        <f t="shared" si="5"/>
        <v>20021281.024038874</v>
      </c>
      <c r="O24" s="60">
        <f t="shared" si="5"/>
        <v>18752298.470647618</v>
      </c>
      <c r="P24" s="60">
        <f t="shared" si="5"/>
        <v>17389157.81113125</v>
      </c>
      <c r="Q24" s="60">
        <f t="shared" si="5"/>
        <v>15927351.643420314</v>
      </c>
      <c r="R24" s="60">
        <f t="shared" si="5"/>
        <v>14362186.863616707</v>
      </c>
      <c r="S24" s="60">
        <f t="shared" si="5"/>
        <v>12688777.580545805</v>
      </c>
      <c r="T24" s="60">
        <f t="shared" si="5"/>
        <v>10902037.772313396</v>
      </c>
      <c r="U24" s="60">
        <f t="shared" si="5"/>
        <v>8996673.6757645477</v>
      </c>
      <c r="V24" s="60">
        <f>PV(V22,1,-V21,-W24)</f>
        <v>6967175.8994276859</v>
      </c>
      <c r="W24" s="60">
        <f>PV(W22,1,-W21,-X21)</f>
        <v>4807811.2502024248</v>
      </c>
      <c r="X24" s="60">
        <f>PV(X22,1,,-Y21)</f>
        <v>2512614.2637141626</v>
      </c>
      <c r="Y24" s="60">
        <f>PV(Y22,1,,-Z21)</f>
        <v>2587992.6916255876</v>
      </c>
      <c r="Z24" s="60">
        <f t="shared" ref="Z24:AI24" si="6">PV(Z22,1,,-AA21)</f>
        <v>2665632.4723743554</v>
      </c>
      <c r="AA24" s="60">
        <f t="shared" si="6"/>
        <v>2745601.446545586</v>
      </c>
      <c r="AB24" s="60">
        <f t="shared" si="6"/>
        <v>2827969.4899419537</v>
      </c>
      <c r="AC24" s="60">
        <f t="shared" si="6"/>
        <v>2912808.5746402126</v>
      </c>
      <c r="AD24" s="60">
        <f t="shared" si="6"/>
        <v>3000192.8318794188</v>
      </c>
      <c r="AE24" s="60">
        <f t="shared" si="6"/>
        <v>3090198.6168358014</v>
      </c>
      <c r="AF24" s="60">
        <f t="shared" si="6"/>
        <v>3182904.5753408754</v>
      </c>
      <c r="AG24" s="60">
        <f t="shared" si="6"/>
        <v>3278391.712601102</v>
      </c>
      <c r="AH24" s="60">
        <f t="shared" si="6"/>
        <v>3376743.4639791353</v>
      </c>
      <c r="AI24" s="60">
        <f t="shared" si="6"/>
        <v>0</v>
      </c>
    </row>
    <row r="25" spans="4:35" x14ac:dyDescent="0.2"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0"/>
      <c r="Y25" s="61"/>
    </row>
    <row r="26" spans="4:35" x14ac:dyDescent="0.2">
      <c r="E26" s="57">
        <f>D27-E21</f>
        <v>23562361.274140302</v>
      </c>
      <c r="F26" s="57">
        <f t="shared" ref="F26:X26" si="7">E27-F21</f>
        <v>23264583.268321864</v>
      </c>
      <c r="G26" s="57">
        <f t="shared" si="7"/>
        <v>22907639.480126742</v>
      </c>
      <c r="H26" s="57">
        <f t="shared" si="7"/>
        <v>22487243.313973527</v>
      </c>
      <c r="I26" s="57">
        <f t="shared" si="7"/>
        <v>21998853.995307863</v>
      </c>
      <c r="J26" s="57">
        <f t="shared" si="7"/>
        <v>21437662.666177988</v>
      </c>
      <c r="K26" s="57">
        <f t="shared" si="7"/>
        <v>20798577.749724757</v>
      </c>
      <c r="L26" s="57">
        <f t="shared" si="7"/>
        <v>20076209.545956001</v>
      </c>
      <c r="M26" s="57">
        <f t="shared" si="7"/>
        <v>19264854.019261159</v>
      </c>
      <c r="N26" s="57">
        <f t="shared" si="7"/>
        <v>18358475.736111794</v>
      </c>
      <c r="O26" s="57">
        <f t="shared" si="7"/>
        <v>17350689.909281585</v>
      </c>
      <c r="P26" s="57">
        <f t="shared" si="7"/>
        <v>16234743.502700794</v>
      </c>
      <c r="Q26" s="57">
        <f t="shared" si="7"/>
        <v>15003495.348729618</v>
      </c>
      <c r="R26" s="57">
        <f t="shared" si="7"/>
        <v>13649395.227186698</v>
      </c>
      <c r="S26" s="57">
        <f t="shared" si="7"/>
        <v>12164461.852897249</v>
      </c>
      <c r="T26" s="57">
        <f t="shared" si="7"/>
        <v>10540259.715823865</v>
      </c>
      <c r="U26" s="57">
        <f t="shared" si="7"/>
        <v>8767874.7150052618</v>
      </c>
      <c r="V26" s="57">
        <f t="shared" si="7"/>
        <v>6837888.5245474353</v>
      </c>
      <c r="W26" s="57">
        <f t="shared" si="7"/>
        <v>4740351.6267804746</v>
      </c>
      <c r="X26" s="57">
        <f t="shared" si="7"/>
        <v>2464754.9444053359</v>
      </c>
      <c r="Y26" s="57">
        <f>X27-Y21</f>
        <v>1.5366822481155396E-8</v>
      </c>
      <c r="Z26" s="57">
        <f t="shared" ref="Z26:AI26" si="8">Y27-Z21</f>
        <v>-2665632.4723743391</v>
      </c>
      <c r="AA26" s="57">
        <f t="shared" si="8"/>
        <v>-5544515.5425386429</v>
      </c>
      <c r="AB26" s="57">
        <f t="shared" si="8"/>
        <v>-8649710.8096075282</v>
      </c>
      <c r="AC26" s="57">
        <f t="shared" si="8"/>
        <v>-11995004.924728118</v>
      </c>
      <c r="AD26" s="57">
        <f t="shared" si="8"/>
        <v>-15594948.002843942</v>
      </c>
      <c r="AE26" s="57">
        <f t="shared" si="8"/>
        <v>-19464894.019821942</v>
      </c>
      <c r="AF26" s="57">
        <f t="shared" si="8"/>
        <v>-23621043.296153914</v>
      </c>
      <c r="AG26" s="57">
        <f t="shared" si="8"/>
        <v>-28080487.173562713</v>
      </c>
      <c r="AH26" s="57">
        <f t="shared" si="8"/>
        <v>-32861254.996219985</v>
      </c>
      <c r="AI26" s="57">
        <f t="shared" si="8"/>
        <v>-37982363.513929494</v>
      </c>
    </row>
    <row r="27" spans="4:35" x14ac:dyDescent="0.2">
      <c r="D27" s="58">
        <f>D32</f>
        <v>24995270.079504821</v>
      </c>
      <c r="E27" s="57">
        <f>E26*1.05</f>
        <v>24740479.337847319</v>
      </c>
      <c r="F27" s="57">
        <f t="shared" ref="F27:AI27" si="9">F26*1.05</f>
        <v>24427812.431737959</v>
      </c>
      <c r="G27" s="57">
        <f t="shared" si="9"/>
        <v>24053021.454133082</v>
      </c>
      <c r="H27" s="57">
        <f t="shared" si="9"/>
        <v>23611605.479672205</v>
      </c>
      <c r="I27" s="57">
        <f t="shared" si="9"/>
        <v>23098796.695073258</v>
      </c>
      <c r="J27" s="57">
        <f t="shared" si="9"/>
        <v>22509545.799486887</v>
      </c>
      <c r="K27" s="57">
        <f t="shared" si="9"/>
        <v>21838506.637210995</v>
      </c>
      <c r="L27" s="57">
        <f t="shared" si="9"/>
        <v>21080020.023253802</v>
      </c>
      <c r="M27" s="57">
        <f t="shared" si="9"/>
        <v>20228096.720224217</v>
      </c>
      <c r="N27" s="57">
        <f t="shared" si="9"/>
        <v>19276399.522917382</v>
      </c>
      <c r="O27" s="57">
        <f t="shared" si="9"/>
        <v>18218224.404745664</v>
      </c>
      <c r="P27" s="57">
        <f t="shared" si="9"/>
        <v>17046480.677835833</v>
      </c>
      <c r="Q27" s="57">
        <f t="shared" si="9"/>
        <v>15753670.1161661</v>
      </c>
      <c r="R27" s="57">
        <f t="shared" si="9"/>
        <v>14331864.988546034</v>
      </c>
      <c r="S27" s="57">
        <f t="shared" si="9"/>
        <v>12772684.945542112</v>
      </c>
      <c r="T27" s="57">
        <f t="shared" si="9"/>
        <v>11067272.701615058</v>
      </c>
      <c r="U27" s="57">
        <f t="shared" si="9"/>
        <v>9206268.4507555254</v>
      </c>
      <c r="V27" s="57">
        <f t="shared" si="9"/>
        <v>7179782.9507748075</v>
      </c>
      <c r="W27" s="57">
        <f t="shared" si="9"/>
        <v>4977369.2081194986</v>
      </c>
      <c r="X27" s="57">
        <f t="shared" si="9"/>
        <v>2587992.691625603</v>
      </c>
      <c r="Y27" s="57">
        <f t="shared" si="9"/>
        <v>1.6135163605213165E-8</v>
      </c>
      <c r="Z27" s="57">
        <f t="shared" si="9"/>
        <v>-2798914.0959930564</v>
      </c>
      <c r="AA27" s="57">
        <f t="shared" si="9"/>
        <v>-5821741.3196655754</v>
      </c>
      <c r="AB27" s="57">
        <f t="shared" si="9"/>
        <v>-9082196.3500879053</v>
      </c>
      <c r="AC27" s="57">
        <f t="shared" si="9"/>
        <v>-12594755.170964524</v>
      </c>
      <c r="AD27" s="57">
        <f t="shared" si="9"/>
        <v>-16374695.402986141</v>
      </c>
      <c r="AE27" s="57">
        <f t="shared" si="9"/>
        <v>-20438138.72081304</v>
      </c>
      <c r="AF27" s="57">
        <f t="shared" si="9"/>
        <v>-24802095.46096161</v>
      </c>
      <c r="AG27" s="57">
        <f t="shared" si="9"/>
        <v>-29484511.532240849</v>
      </c>
      <c r="AH27" s="57">
        <f t="shared" si="9"/>
        <v>-34504317.746030986</v>
      </c>
      <c r="AI27" s="57">
        <f t="shared" si="9"/>
        <v>-39881481.689625971</v>
      </c>
    </row>
    <row r="29" spans="4:35" x14ac:dyDescent="0.2">
      <c r="D29" s="58">
        <f>PMT(8%/12,12*40,,-D27)</f>
        <v>7159.9008901976795</v>
      </c>
      <c r="E29" s="53">
        <f>E20</f>
        <v>65</v>
      </c>
      <c r="F29" s="53">
        <f>F20</f>
        <v>66</v>
      </c>
      <c r="G29" s="53">
        <f t="shared" ref="G29:AI29" si="10">G20</f>
        <v>67</v>
      </c>
      <c r="H29" s="53">
        <f t="shared" si="10"/>
        <v>68</v>
      </c>
      <c r="I29" s="53">
        <f t="shared" si="10"/>
        <v>69</v>
      </c>
      <c r="J29" s="53">
        <f t="shared" si="10"/>
        <v>70</v>
      </c>
      <c r="K29" s="53">
        <f t="shared" si="10"/>
        <v>71</v>
      </c>
      <c r="L29" s="53">
        <f t="shared" si="10"/>
        <v>72</v>
      </c>
      <c r="M29" s="53">
        <f t="shared" si="10"/>
        <v>73</v>
      </c>
      <c r="N29" s="53">
        <f t="shared" si="10"/>
        <v>74</v>
      </c>
      <c r="O29" s="53">
        <f t="shared" si="10"/>
        <v>75</v>
      </c>
      <c r="P29" s="53">
        <f t="shared" si="10"/>
        <v>76</v>
      </c>
      <c r="Q29" s="53">
        <f t="shared" si="10"/>
        <v>77</v>
      </c>
      <c r="R29" s="53">
        <f t="shared" si="10"/>
        <v>78</v>
      </c>
      <c r="S29" s="53">
        <f t="shared" si="10"/>
        <v>79</v>
      </c>
      <c r="T29" s="53">
        <f t="shared" si="10"/>
        <v>80</v>
      </c>
      <c r="U29" s="53">
        <f t="shared" si="10"/>
        <v>81</v>
      </c>
      <c r="V29" s="53">
        <f t="shared" si="10"/>
        <v>82</v>
      </c>
      <c r="W29" s="53">
        <f t="shared" si="10"/>
        <v>83</v>
      </c>
      <c r="X29" s="53">
        <f t="shared" si="10"/>
        <v>84</v>
      </c>
      <c r="Y29" s="53">
        <f t="shared" si="10"/>
        <v>85</v>
      </c>
      <c r="Z29" s="53">
        <f t="shared" si="10"/>
        <v>86</v>
      </c>
      <c r="AA29" s="53">
        <f t="shared" si="10"/>
        <v>87</v>
      </c>
      <c r="AB29" s="53">
        <f t="shared" si="10"/>
        <v>88</v>
      </c>
      <c r="AC29" s="53">
        <f t="shared" si="10"/>
        <v>89</v>
      </c>
      <c r="AD29" s="53">
        <f t="shared" si="10"/>
        <v>90</v>
      </c>
      <c r="AE29" s="53">
        <f t="shared" si="10"/>
        <v>91</v>
      </c>
      <c r="AF29" s="53">
        <f t="shared" si="10"/>
        <v>92</v>
      </c>
      <c r="AG29" s="53">
        <f t="shared" si="10"/>
        <v>93</v>
      </c>
      <c r="AH29" s="53">
        <f t="shared" si="10"/>
        <v>94</v>
      </c>
      <c r="AI29" s="53">
        <f t="shared" si="10"/>
        <v>95</v>
      </c>
    </row>
    <row r="30" spans="4:35" x14ac:dyDescent="0.2">
      <c r="D30" s="58">
        <f>E30*J5</f>
        <v>28658176.10729038</v>
      </c>
      <c r="E30" s="58">
        <f>PV(E22,E20-65,,-E21)</f>
        <v>1432908.8053645189</v>
      </c>
      <c r="F30" s="58">
        <f t="shared" ref="F30:X30" si="11">PV(F22,F20-65,,-F21)</f>
        <v>1432908.8053645189</v>
      </c>
      <c r="G30" s="58">
        <f t="shared" si="11"/>
        <v>1432908.8053645189</v>
      </c>
      <c r="H30" s="58">
        <f t="shared" si="11"/>
        <v>1432908.8053645189</v>
      </c>
      <c r="I30" s="58">
        <f t="shared" si="11"/>
        <v>1432908.8053645189</v>
      </c>
      <c r="J30" s="58">
        <f t="shared" si="11"/>
        <v>1432908.8053645191</v>
      </c>
      <c r="K30" s="58">
        <f t="shared" si="11"/>
        <v>1432908.8053645189</v>
      </c>
      <c r="L30" s="58">
        <f t="shared" si="11"/>
        <v>1432908.8053645189</v>
      </c>
      <c r="M30" s="58">
        <f t="shared" si="11"/>
        <v>1432908.8053645191</v>
      </c>
      <c r="N30" s="58">
        <f t="shared" si="11"/>
        <v>1432908.8053645191</v>
      </c>
      <c r="O30" s="58">
        <f t="shared" si="11"/>
        <v>1432908.8053645191</v>
      </c>
      <c r="P30" s="58">
        <f t="shared" si="11"/>
        <v>1432908.8053645191</v>
      </c>
      <c r="Q30" s="58">
        <f t="shared" si="11"/>
        <v>1432908.8053645194</v>
      </c>
      <c r="R30" s="58">
        <f t="shared" si="11"/>
        <v>1432908.8053645194</v>
      </c>
      <c r="S30" s="58">
        <f t="shared" si="11"/>
        <v>1432908.8053645194</v>
      </c>
      <c r="T30" s="58">
        <f t="shared" si="11"/>
        <v>1432908.8053645194</v>
      </c>
      <c r="U30" s="58">
        <f t="shared" si="11"/>
        <v>1432908.8053645198</v>
      </c>
      <c r="V30" s="58">
        <f t="shared" si="11"/>
        <v>1432908.8053645198</v>
      </c>
      <c r="W30" s="58">
        <f t="shared" si="11"/>
        <v>1432908.8053645201</v>
      </c>
      <c r="X30" s="58">
        <f t="shared" si="11"/>
        <v>1432908.8053645201</v>
      </c>
      <c r="Y30" s="58">
        <f>PV(Y22,Y20-65,,-Y21)</f>
        <v>1432908.8053645203</v>
      </c>
      <c r="Z30" s="58"/>
    </row>
    <row r="31" spans="4:35" x14ac:dyDescent="0.2">
      <c r="E31" s="62">
        <f t="shared" ref="E31:W31" si="12">F31</f>
        <v>0.05</v>
      </c>
      <c r="F31" s="62">
        <f t="shared" si="12"/>
        <v>0.05</v>
      </c>
      <c r="G31" s="62">
        <f t="shared" si="12"/>
        <v>0.05</v>
      </c>
      <c r="H31" s="62">
        <f t="shared" si="12"/>
        <v>0.05</v>
      </c>
      <c r="I31" s="62">
        <f t="shared" si="12"/>
        <v>0.05</v>
      </c>
      <c r="J31" s="62">
        <f t="shared" si="12"/>
        <v>0.05</v>
      </c>
      <c r="K31" s="62">
        <f t="shared" si="12"/>
        <v>0.05</v>
      </c>
      <c r="L31" s="62">
        <f t="shared" si="12"/>
        <v>0.05</v>
      </c>
      <c r="M31" s="62">
        <f t="shared" si="12"/>
        <v>0.05</v>
      </c>
      <c r="N31" s="62">
        <f t="shared" si="12"/>
        <v>0.05</v>
      </c>
      <c r="O31" s="62">
        <f t="shared" si="12"/>
        <v>0.05</v>
      </c>
      <c r="P31" s="62">
        <f t="shared" si="12"/>
        <v>0.05</v>
      </c>
      <c r="Q31" s="62">
        <f t="shared" si="12"/>
        <v>0.05</v>
      </c>
      <c r="R31" s="62">
        <f t="shared" si="12"/>
        <v>0.05</v>
      </c>
      <c r="S31" s="62">
        <f t="shared" si="12"/>
        <v>0.05</v>
      </c>
      <c r="T31" s="62">
        <f t="shared" si="12"/>
        <v>0.05</v>
      </c>
      <c r="U31" s="62">
        <f t="shared" si="12"/>
        <v>0.05</v>
      </c>
      <c r="V31" s="62">
        <f t="shared" si="12"/>
        <v>0.05</v>
      </c>
      <c r="W31" s="62">
        <f t="shared" si="12"/>
        <v>0.05</v>
      </c>
      <c r="X31" s="62">
        <f>Y31</f>
        <v>0.05</v>
      </c>
      <c r="Y31" s="62">
        <f>E11</f>
        <v>0.05</v>
      </c>
      <c r="Z31" s="62">
        <f>Y31</f>
        <v>0.05</v>
      </c>
      <c r="AA31" s="62">
        <f t="shared" ref="AA31:AI31" si="13">Z31</f>
        <v>0.05</v>
      </c>
      <c r="AB31" s="62">
        <f t="shared" si="13"/>
        <v>0.05</v>
      </c>
      <c r="AC31" s="62">
        <f t="shared" si="13"/>
        <v>0.05</v>
      </c>
      <c r="AD31" s="62">
        <f t="shared" si="13"/>
        <v>0.05</v>
      </c>
      <c r="AE31" s="62">
        <f t="shared" si="13"/>
        <v>0.05</v>
      </c>
      <c r="AF31" s="62">
        <f t="shared" si="13"/>
        <v>0.05</v>
      </c>
      <c r="AG31" s="62">
        <f t="shared" si="13"/>
        <v>0.05</v>
      </c>
      <c r="AH31" s="62">
        <f t="shared" si="13"/>
        <v>0.05</v>
      </c>
      <c r="AI31" s="62">
        <f t="shared" si="13"/>
        <v>0.05</v>
      </c>
    </row>
    <row r="32" spans="4:35" x14ac:dyDescent="0.2">
      <c r="D32" s="58">
        <f>SUM(E32:Y32)</f>
        <v>24995270.079504821</v>
      </c>
      <c r="E32" s="58">
        <f t="shared" ref="E32:X32" si="14">PV(E31,E20-65,,-E21)</f>
        <v>1432908.8053645189</v>
      </c>
      <c r="F32" s="58">
        <f t="shared" si="14"/>
        <v>1405615.3043099565</v>
      </c>
      <c r="G32" s="58">
        <f t="shared" si="14"/>
        <v>1378841.6794659575</v>
      </c>
      <c r="H32" s="58">
        <f t="shared" si="14"/>
        <v>1352578.0284285105</v>
      </c>
      <c r="I32" s="58">
        <f t="shared" si="14"/>
        <v>1326814.6374108247</v>
      </c>
      <c r="J32" s="58">
        <f t="shared" si="14"/>
        <v>1301541.9776506184</v>
      </c>
      <c r="K32" s="58">
        <f t="shared" si="14"/>
        <v>1276750.7018858448</v>
      </c>
      <c r="L32" s="58">
        <f t="shared" si="14"/>
        <v>1252431.6408975429</v>
      </c>
      <c r="M32" s="58">
        <f t="shared" si="14"/>
        <v>1228575.8001185423</v>
      </c>
      <c r="N32" s="58">
        <f t="shared" si="14"/>
        <v>1205174.3563067603</v>
      </c>
      <c r="O32" s="58">
        <f t="shared" si="14"/>
        <v>1182218.6542818698</v>
      </c>
      <c r="P32" s="58">
        <f t="shared" si="14"/>
        <v>1159700.2037241198</v>
      </c>
      <c r="Q32" s="58">
        <f t="shared" si="14"/>
        <v>1137610.6760341367</v>
      </c>
      <c r="R32" s="58">
        <f t="shared" si="14"/>
        <v>1115941.901252534</v>
      </c>
      <c r="S32" s="58">
        <f t="shared" si="14"/>
        <v>1094685.8650382003</v>
      </c>
      <c r="T32" s="58">
        <f t="shared" si="14"/>
        <v>1073834.7057041391</v>
      </c>
      <c r="U32" s="58">
        <f t="shared" si="14"/>
        <v>1053380.7113097748</v>
      </c>
      <c r="V32" s="58">
        <f t="shared" si="14"/>
        <v>1033316.3168086361</v>
      </c>
      <c r="W32" s="58">
        <f t="shared" si="14"/>
        <v>1013634.1012503764</v>
      </c>
      <c r="X32" s="58">
        <f t="shared" si="14"/>
        <v>994326.78503608366</v>
      </c>
      <c r="Y32" s="58">
        <f>PV(Y31,Y20-65,,-Y21)</f>
        <v>975387.22722587269</v>
      </c>
    </row>
    <row r="34" spans="4:25" x14ac:dyDescent="0.2">
      <c r="Y34" s="58"/>
    </row>
    <row r="35" spans="4:25" x14ac:dyDescent="0.2">
      <c r="E35" s="53">
        <v>66</v>
      </c>
      <c r="F35" s="53">
        <f>E35+1</f>
        <v>67</v>
      </c>
      <c r="G35" s="53">
        <f t="shared" ref="G35:Y35" si="15">F35+1</f>
        <v>68</v>
      </c>
      <c r="H35" s="53">
        <f t="shared" si="15"/>
        <v>69</v>
      </c>
      <c r="I35" s="53">
        <f t="shared" si="15"/>
        <v>70</v>
      </c>
      <c r="J35" s="53">
        <f t="shared" si="15"/>
        <v>71</v>
      </c>
      <c r="K35" s="53">
        <f t="shared" si="15"/>
        <v>72</v>
      </c>
      <c r="L35" s="53">
        <f t="shared" si="15"/>
        <v>73</v>
      </c>
      <c r="M35" s="53">
        <f t="shared" si="15"/>
        <v>74</v>
      </c>
      <c r="N35" s="53">
        <f t="shared" si="15"/>
        <v>75</v>
      </c>
      <c r="O35" s="53">
        <f t="shared" si="15"/>
        <v>76</v>
      </c>
      <c r="P35" s="53">
        <f t="shared" si="15"/>
        <v>77</v>
      </c>
      <c r="Q35" s="53">
        <f t="shared" si="15"/>
        <v>78</v>
      </c>
      <c r="R35" s="53">
        <f t="shared" si="15"/>
        <v>79</v>
      </c>
      <c r="S35" s="53">
        <f t="shared" si="15"/>
        <v>80</v>
      </c>
      <c r="T35" s="53">
        <f t="shared" si="15"/>
        <v>81</v>
      </c>
      <c r="U35" s="53">
        <f t="shared" si="15"/>
        <v>82</v>
      </c>
      <c r="V35" s="53">
        <f t="shared" si="15"/>
        <v>83</v>
      </c>
      <c r="W35" s="53">
        <f t="shared" si="15"/>
        <v>84</v>
      </c>
      <c r="X35" s="53">
        <f t="shared" si="15"/>
        <v>85</v>
      </c>
      <c r="Y35" s="53">
        <f t="shared" si="15"/>
        <v>86</v>
      </c>
    </row>
    <row r="36" spans="4:25" x14ac:dyDescent="0.2">
      <c r="D36" s="53" t="s">
        <v>56</v>
      </c>
      <c r="E36" s="57">
        <f t="shared" ref="E36:Y36" si="16">E26</f>
        <v>23562361.274140302</v>
      </c>
      <c r="F36" s="57">
        <f t="shared" si="16"/>
        <v>23264583.268321864</v>
      </c>
      <c r="G36" s="57">
        <f t="shared" si="16"/>
        <v>22907639.480126742</v>
      </c>
      <c r="H36" s="57">
        <f t="shared" si="16"/>
        <v>22487243.313973527</v>
      </c>
      <c r="I36" s="57">
        <f t="shared" si="16"/>
        <v>21998853.995307863</v>
      </c>
      <c r="J36" s="57">
        <f t="shared" si="16"/>
        <v>21437662.666177988</v>
      </c>
      <c r="K36" s="57">
        <f t="shared" si="16"/>
        <v>20798577.749724757</v>
      </c>
      <c r="L36" s="57">
        <f t="shared" si="16"/>
        <v>20076209.545956001</v>
      </c>
      <c r="M36" s="57">
        <f t="shared" si="16"/>
        <v>19264854.019261159</v>
      </c>
      <c r="N36" s="57">
        <f t="shared" si="16"/>
        <v>18358475.736111794</v>
      </c>
      <c r="O36" s="57">
        <f t="shared" si="16"/>
        <v>17350689.909281585</v>
      </c>
      <c r="P36" s="57">
        <f t="shared" si="16"/>
        <v>16234743.502700794</v>
      </c>
      <c r="Q36" s="57">
        <f t="shared" si="16"/>
        <v>15003495.348729618</v>
      </c>
      <c r="R36" s="57">
        <f t="shared" si="16"/>
        <v>13649395.227186698</v>
      </c>
      <c r="S36" s="57">
        <f t="shared" si="16"/>
        <v>12164461.852897249</v>
      </c>
      <c r="T36" s="57">
        <f t="shared" si="16"/>
        <v>10540259.715823865</v>
      </c>
      <c r="U36" s="57">
        <f t="shared" si="16"/>
        <v>8767874.7150052618</v>
      </c>
      <c r="V36" s="57">
        <f t="shared" si="16"/>
        <v>6837888.5245474353</v>
      </c>
      <c r="W36" s="57">
        <f t="shared" si="16"/>
        <v>4740351.6267804746</v>
      </c>
      <c r="X36" s="57">
        <f t="shared" si="16"/>
        <v>2464754.9444053359</v>
      </c>
      <c r="Y36" s="57">
        <f t="shared" si="16"/>
        <v>1.5366822481155396E-8</v>
      </c>
    </row>
    <row r="37" spans="4:25" x14ac:dyDescent="0.2">
      <c r="D37" s="53" t="s">
        <v>57</v>
      </c>
      <c r="E37" s="63">
        <f>E36</f>
        <v>23562361.274140302</v>
      </c>
    </row>
  </sheetData>
  <sheetProtection algorithmName="SHA-512" hashValue="IpHKUS9atEezrMF3bCycDXs5K+p0A2FaVIiDmkXHez46WL/lqKaz9GN6APKl2tSrf9C2G64uzxCjKB4e++9vNg==" saltValue="xhz6wREj4bFB5Iqyc6miEQ==" spinCount="100000" sheet="1" objects="1" scenarios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5D6A-A36E-6F40-A8FF-625E86F9423F}">
  <dimension ref="B4:E46"/>
  <sheetViews>
    <sheetView showGridLines="0" zoomScale="50" workbookViewId="0">
      <selection sqref="A1:XFD1048576"/>
    </sheetView>
  </sheetViews>
  <sheetFormatPr baseColWidth="10" defaultRowHeight="16" x14ac:dyDescent="0.2"/>
  <cols>
    <col min="1" max="1" width="10.83203125" style="53"/>
    <col min="2" max="2" width="38.83203125" style="53" customWidth="1"/>
    <col min="3" max="3" width="12.83203125" style="53" bestFit="1" customWidth="1"/>
    <col min="4" max="4" width="10.83203125" style="53"/>
    <col min="5" max="5" width="13.5" style="53" bestFit="1" customWidth="1"/>
    <col min="6" max="6" width="22.1640625" style="53" customWidth="1"/>
    <col min="7" max="16384" width="10.83203125" style="53"/>
  </cols>
  <sheetData>
    <row r="4" spans="2:3" x14ac:dyDescent="0.2">
      <c r="B4" s="53" t="s">
        <v>228</v>
      </c>
    </row>
    <row r="6" spans="2:3" x14ac:dyDescent="0.2">
      <c r="B6" s="53" t="s">
        <v>232</v>
      </c>
    </row>
    <row r="8" spans="2:3" x14ac:dyDescent="0.2">
      <c r="B8" s="140" t="s">
        <v>229</v>
      </c>
      <c r="C8" s="136">
        <f>'Estate &amp; Risk Plan'!I89</f>
        <v>30000000</v>
      </c>
    </row>
    <row r="9" spans="2:3" x14ac:dyDescent="0.2">
      <c r="B9" s="140" t="s">
        <v>88</v>
      </c>
      <c r="C9" s="136">
        <f>'Estate &amp; Risk Plan'!I90</f>
        <v>3800000</v>
      </c>
    </row>
    <row r="10" spans="2:3" x14ac:dyDescent="0.2">
      <c r="B10" s="140" t="s">
        <v>4</v>
      </c>
      <c r="C10" s="136">
        <f>'Estate &amp; Risk Plan'!I91</f>
        <v>4500000</v>
      </c>
    </row>
    <row r="11" spans="2:3" x14ac:dyDescent="0.2">
      <c r="B11" s="140" t="s">
        <v>7</v>
      </c>
      <c r="C11" s="136">
        <f>'Estate &amp; Risk Plan'!I92</f>
        <v>40000</v>
      </c>
    </row>
    <row r="12" spans="2:3" x14ac:dyDescent="0.2">
      <c r="B12" s="140" t="s">
        <v>8</v>
      </c>
      <c r="C12" s="136">
        <f>'Estate &amp; Risk Plan'!I93</f>
        <v>4</v>
      </c>
    </row>
    <row r="13" spans="2:3" x14ac:dyDescent="0.2">
      <c r="B13" s="140" t="s">
        <v>230</v>
      </c>
      <c r="C13" s="136">
        <f>'Estate &amp; Risk Plan'!I94</f>
        <v>250000</v>
      </c>
    </row>
    <row r="14" spans="2:3" x14ac:dyDescent="0.2">
      <c r="B14" s="140" t="s">
        <v>64</v>
      </c>
      <c r="C14" s="136">
        <f>'Estate &amp; Risk Plan'!I95</f>
        <v>40000</v>
      </c>
    </row>
    <row r="15" spans="2:3" x14ac:dyDescent="0.2">
      <c r="B15" s="140"/>
    </row>
    <row r="16" spans="2:3" x14ac:dyDescent="0.2">
      <c r="B16" s="140"/>
    </row>
    <row r="17" spans="2:3" x14ac:dyDescent="0.2">
      <c r="B17" s="140" t="s">
        <v>78</v>
      </c>
    </row>
    <row r="18" spans="2:3" x14ac:dyDescent="0.2">
      <c r="B18" s="140"/>
    </row>
    <row r="19" spans="2:3" x14ac:dyDescent="0.2">
      <c r="B19" s="140" t="s">
        <v>233</v>
      </c>
      <c r="C19" s="136">
        <v>0</v>
      </c>
    </row>
    <row r="20" spans="2:3" x14ac:dyDescent="0.2">
      <c r="B20" s="140" t="s">
        <v>234</v>
      </c>
      <c r="C20" s="136">
        <v>500000</v>
      </c>
    </row>
    <row r="21" spans="2:3" x14ac:dyDescent="0.2">
      <c r="B21" s="140" t="s">
        <v>80</v>
      </c>
      <c r="C21" s="137">
        <v>1</v>
      </c>
    </row>
    <row r="22" spans="2:3" x14ac:dyDescent="0.2">
      <c r="B22" s="140" t="s">
        <v>235</v>
      </c>
      <c r="C22" s="138">
        <v>0.09</v>
      </c>
    </row>
    <row r="23" spans="2:3" x14ac:dyDescent="0.2">
      <c r="B23" s="140" t="s">
        <v>72</v>
      </c>
      <c r="C23" s="138">
        <v>0</v>
      </c>
    </row>
    <row r="24" spans="2:3" x14ac:dyDescent="0.2">
      <c r="B24" s="140" t="s">
        <v>236</v>
      </c>
      <c r="C24" s="138">
        <v>0</v>
      </c>
    </row>
    <row r="25" spans="2:3" x14ac:dyDescent="0.2">
      <c r="B25" s="140" t="s">
        <v>81</v>
      </c>
      <c r="C25" s="139">
        <v>0.18</v>
      </c>
    </row>
    <row r="26" spans="2:3" x14ac:dyDescent="0.2">
      <c r="B26" s="140" t="s">
        <v>237</v>
      </c>
      <c r="C26" s="138">
        <v>5.6500000000000002E-2</v>
      </c>
    </row>
    <row r="27" spans="2:3" x14ac:dyDescent="0.2">
      <c r="B27" s="140" t="s">
        <v>238</v>
      </c>
      <c r="C27" s="139">
        <v>0</v>
      </c>
    </row>
    <row r="29" spans="2:3" x14ac:dyDescent="0.2">
      <c r="B29" s="53" t="s">
        <v>242</v>
      </c>
      <c r="C29" s="53" t="s">
        <v>70</v>
      </c>
    </row>
    <row r="43" spans="3:5" x14ac:dyDescent="0.2">
      <c r="C43" s="53">
        <v>20</v>
      </c>
      <c r="D43" s="53">
        <v>10000</v>
      </c>
      <c r="E43" s="58">
        <f>FV(10%,65-C43,,-D43)</f>
        <v>728904.8368510328</v>
      </c>
    </row>
    <row r="44" spans="3:5" x14ac:dyDescent="0.2">
      <c r="C44" s="53">
        <v>30</v>
      </c>
      <c r="D44" s="53">
        <v>10000</v>
      </c>
      <c r="E44" s="58">
        <f>FV(10%,65-C44,,-D44)</f>
        <v>281024.3684806432</v>
      </c>
    </row>
    <row r="45" spans="3:5" x14ac:dyDescent="0.2">
      <c r="C45" s="53">
        <v>40</v>
      </c>
      <c r="D45" s="53">
        <v>10000</v>
      </c>
      <c r="E45" s="58">
        <f>FV(10%,65-C45,,-D45)</f>
        <v>108347.05943388391</v>
      </c>
    </row>
    <row r="46" spans="3:5" x14ac:dyDescent="0.2">
      <c r="C46" s="53">
        <v>50</v>
      </c>
      <c r="D46" s="53">
        <v>10000</v>
      </c>
      <c r="E46" s="58">
        <f>FV(10%,65-C46,,-D46)</f>
        <v>41772.481694156551</v>
      </c>
    </row>
  </sheetData>
  <sheetProtection algorithmName="SHA-512" hashValue="7Kf2mh1OiPJec0+aUK7UAtH8E5RT6xNsERkI9cN6xYz8ywIYE4QhTR7EY1iarEREuzJDVMT9lFFXoW3nc14soQ==" saltValue="l2b3g2qg/cMwD5SlqSQSaw==" spinCount="100000" sheet="1" objects="1" scenarios="1"/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00D7EE-5F2D-814C-AAE2-00A9AE41EC4E}">
          <x14:formula1>
            <xm:f>Data3!$C$31:$E$31</xm:f>
          </x14:formula1>
          <xm:sqref>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04A44-0A38-0F4C-A353-0450EB080A2D}">
  <dimension ref="A1:U126"/>
  <sheetViews>
    <sheetView showGridLines="0" topLeftCell="B1" zoomScale="11" zoomScaleNormal="167" workbookViewId="0">
      <selection activeCell="D1" sqref="A1:XFD1048576"/>
    </sheetView>
  </sheetViews>
  <sheetFormatPr baseColWidth="10" defaultRowHeight="16" x14ac:dyDescent="0.2"/>
  <cols>
    <col min="1" max="1" width="11.5" style="53" bestFit="1" customWidth="1"/>
    <col min="2" max="2" width="27.6640625" style="53" customWidth="1"/>
    <col min="3" max="3" width="16.6640625" style="53" customWidth="1"/>
    <col min="4" max="4" width="19.6640625" style="53" customWidth="1"/>
    <col min="5" max="5" width="17.1640625" style="53" customWidth="1"/>
    <col min="6" max="6" width="15.5" style="53" bestFit="1" customWidth="1"/>
    <col min="7" max="7" width="11" style="53" bestFit="1" customWidth="1"/>
    <col min="8" max="8" width="22.1640625" style="53" customWidth="1"/>
    <col min="9" max="9" width="21.83203125" style="53" customWidth="1"/>
    <col min="10" max="10" width="13.1640625" style="53" bestFit="1" customWidth="1"/>
    <col min="11" max="11" width="14.1640625" style="53" bestFit="1" customWidth="1"/>
    <col min="12" max="12" width="13.1640625" style="53" bestFit="1" customWidth="1"/>
    <col min="13" max="13" width="15.5" style="53" customWidth="1"/>
    <col min="14" max="14" width="15" style="53" customWidth="1"/>
    <col min="15" max="15" width="11.5" style="53" bestFit="1" customWidth="1"/>
    <col min="16" max="21" width="11" style="53" bestFit="1" customWidth="1"/>
    <col min="22" max="16384" width="10.83203125" style="53"/>
  </cols>
  <sheetData>
    <row r="1" spans="1:20" x14ac:dyDescent="0.2">
      <c r="B1" s="79">
        <f>B97</f>
        <v>11155821.647989538</v>
      </c>
      <c r="C1" s="79">
        <f t="shared" ref="C1:T1" si="0">C97</f>
        <v>9998776.9299195465</v>
      </c>
      <c r="D1" s="79">
        <f t="shared" si="0"/>
        <v>8761648.7982982397</v>
      </c>
      <c r="E1" s="79">
        <f t="shared" si="0"/>
        <v>7440654.7157317651</v>
      </c>
      <c r="F1" s="79">
        <f t="shared" si="0"/>
        <v>6031856.6936197486</v>
      </c>
      <c r="G1" s="79">
        <f t="shared" si="0"/>
        <v>4531155.3519067196</v>
      </c>
      <c r="H1" s="79">
        <f t="shared" si="0"/>
        <v>2934283.7617936675</v>
      </c>
      <c r="I1" s="79">
        <f t="shared" si="0"/>
        <v>1236801.0637173818</v>
      </c>
      <c r="J1" s="79">
        <f t="shared" si="0"/>
        <v>0</v>
      </c>
      <c r="K1" s="79">
        <f t="shared" si="0"/>
        <v>0</v>
      </c>
      <c r="L1" s="79">
        <f t="shared" si="0"/>
        <v>0</v>
      </c>
      <c r="M1" s="79">
        <f t="shared" si="0"/>
        <v>0</v>
      </c>
      <c r="N1" s="79">
        <f t="shared" si="0"/>
        <v>0</v>
      </c>
      <c r="O1" s="79">
        <f t="shared" si="0"/>
        <v>0</v>
      </c>
      <c r="P1" s="79">
        <f t="shared" si="0"/>
        <v>0</v>
      </c>
      <c r="Q1" s="79">
        <f t="shared" si="0"/>
        <v>0</v>
      </c>
      <c r="R1" s="79">
        <f>R97</f>
        <v>0</v>
      </c>
      <c r="S1" s="79">
        <f t="shared" si="0"/>
        <v>0</v>
      </c>
      <c r="T1" s="79">
        <f t="shared" si="0"/>
        <v>0</v>
      </c>
    </row>
    <row r="2" spans="1:20" x14ac:dyDescent="0.2">
      <c r="A2" s="53" t="s">
        <v>130</v>
      </c>
    </row>
    <row r="3" spans="1:20" x14ac:dyDescent="0.2">
      <c r="A3" s="79">
        <f>F3</f>
        <v>11155821.647989538</v>
      </c>
      <c r="B3" s="53" t="s">
        <v>1</v>
      </c>
      <c r="F3" s="79">
        <f>B1</f>
        <v>11155821.647989538</v>
      </c>
    </row>
    <row r="4" spans="1:20" x14ac:dyDescent="0.2">
      <c r="A4" s="79">
        <f t="shared" ref="A4:A17" si="1">F4</f>
        <v>9998776.9299195465</v>
      </c>
      <c r="D4" s="53" t="s">
        <v>6</v>
      </c>
      <c r="E4" s="53" t="s">
        <v>5</v>
      </c>
      <c r="F4" s="79">
        <f>C1</f>
        <v>9998776.9299195465</v>
      </c>
      <c r="H4" s="53" t="s">
        <v>9</v>
      </c>
    </row>
    <row r="5" spans="1:20" x14ac:dyDescent="0.2">
      <c r="A5" s="79">
        <f t="shared" si="1"/>
        <v>8761648.7982982397</v>
      </c>
      <c r="B5" s="53" t="s">
        <v>2</v>
      </c>
      <c r="C5" s="119">
        <f>Data9!C8</f>
        <v>30000000</v>
      </c>
      <c r="D5" s="119"/>
      <c r="E5" s="120"/>
      <c r="F5" s="79">
        <f>D1</f>
        <v>8761648.7982982397</v>
      </c>
      <c r="H5" s="53" t="s">
        <v>20</v>
      </c>
      <c r="I5" s="57">
        <f>(C8*12*C9)+C10</f>
        <v>2170000</v>
      </c>
      <c r="K5" s="84">
        <f>I7</f>
        <v>5970000</v>
      </c>
      <c r="L5" s="84">
        <f>K5*4.025%</f>
        <v>240292.5</v>
      </c>
    </row>
    <row r="6" spans="1:20" x14ac:dyDescent="0.2">
      <c r="A6" s="79">
        <f t="shared" si="1"/>
        <v>7440654.7157317651</v>
      </c>
      <c r="B6" s="53" t="s">
        <v>3</v>
      </c>
      <c r="C6" s="119">
        <f>Data9!C9</f>
        <v>3800000</v>
      </c>
      <c r="D6" s="119"/>
      <c r="E6" s="119"/>
      <c r="F6" s="79">
        <f>E1</f>
        <v>7440654.7157317651</v>
      </c>
      <c r="H6" s="53" t="s">
        <v>23</v>
      </c>
      <c r="I6" s="61">
        <f>C6</f>
        <v>3800000</v>
      </c>
      <c r="K6" s="57">
        <f>C5</f>
        <v>30000000</v>
      </c>
      <c r="L6" s="57">
        <f>K6*4.025%</f>
        <v>1207500</v>
      </c>
    </row>
    <row r="7" spans="1:20" x14ac:dyDescent="0.2">
      <c r="A7" s="79">
        <f t="shared" si="1"/>
        <v>6031856.6936197486</v>
      </c>
      <c r="B7" s="53" t="s">
        <v>4</v>
      </c>
      <c r="C7" s="119">
        <f>Data9!C10</f>
        <v>4500000</v>
      </c>
      <c r="D7" s="119"/>
      <c r="E7" s="119"/>
      <c r="F7" s="79">
        <f>F1</f>
        <v>6031856.6936197486</v>
      </c>
      <c r="H7" s="53" t="s">
        <v>24</v>
      </c>
      <c r="I7" s="84">
        <f>I6+I5</f>
        <v>5970000</v>
      </c>
      <c r="L7" s="84">
        <f>L6+L5</f>
        <v>1447792.5</v>
      </c>
    </row>
    <row r="8" spans="1:20" x14ac:dyDescent="0.2">
      <c r="A8" s="79">
        <f t="shared" si="1"/>
        <v>4531155.3519067196</v>
      </c>
      <c r="B8" s="53" t="s">
        <v>7</v>
      </c>
      <c r="C8" s="119">
        <f>Data9!C11</f>
        <v>40000</v>
      </c>
      <c r="D8" s="119"/>
      <c r="E8" s="119">
        <v>9</v>
      </c>
      <c r="F8" s="79">
        <f>G1</f>
        <v>4531155.3519067196</v>
      </c>
      <c r="I8" s="84"/>
      <c r="J8" s="84"/>
      <c r="L8" s="53">
        <v>35000</v>
      </c>
    </row>
    <row r="9" spans="1:20" x14ac:dyDescent="0.2">
      <c r="A9" s="79">
        <f t="shared" si="1"/>
        <v>2934283.7617936675</v>
      </c>
      <c r="B9" s="53" t="s">
        <v>8</v>
      </c>
      <c r="C9" s="119">
        <f>Data9!C12</f>
        <v>4</v>
      </c>
      <c r="D9" s="119"/>
      <c r="E9" s="119">
        <v>12</v>
      </c>
      <c r="F9" s="79">
        <f>H1</f>
        <v>2934283.7617936675</v>
      </c>
      <c r="J9" s="84"/>
      <c r="L9" s="53">
        <v>7000</v>
      </c>
    </row>
    <row r="10" spans="1:20" x14ac:dyDescent="0.2">
      <c r="A10" s="79">
        <f t="shared" si="1"/>
        <v>1236801.0637173818</v>
      </c>
      <c r="B10" s="53" t="s">
        <v>101</v>
      </c>
      <c r="C10" s="119">
        <f>Data9!C13</f>
        <v>250000</v>
      </c>
      <c r="D10" s="121">
        <v>4.0250000000000001E-2</v>
      </c>
      <c r="E10" s="119"/>
      <c r="F10" s="79">
        <f>I1</f>
        <v>1236801.0637173818</v>
      </c>
      <c r="J10" s="84"/>
    </row>
    <row r="11" spans="1:20" x14ac:dyDescent="0.2">
      <c r="A11" s="79">
        <f t="shared" si="1"/>
        <v>0</v>
      </c>
      <c r="F11" s="79">
        <f>J1</f>
        <v>0</v>
      </c>
      <c r="I11" s="84"/>
      <c r="J11" s="84"/>
      <c r="L11" s="84">
        <f>SUM(L7:L9)</f>
        <v>1489792.5</v>
      </c>
    </row>
    <row r="12" spans="1:20" x14ac:dyDescent="0.2">
      <c r="A12" s="79">
        <f t="shared" si="1"/>
        <v>0</v>
      </c>
      <c r="B12" s="53" t="s">
        <v>27</v>
      </c>
      <c r="C12" s="119">
        <f>C6</f>
        <v>3800000</v>
      </c>
      <c r="F12" s="79">
        <f>K1</f>
        <v>0</v>
      </c>
      <c r="J12" s="84"/>
    </row>
    <row r="13" spans="1:20" ht="17" thickBot="1" x14ac:dyDescent="0.25">
      <c r="A13" s="79">
        <f t="shared" si="1"/>
        <v>0</v>
      </c>
      <c r="B13" s="53" t="s">
        <v>28</v>
      </c>
      <c r="C13" s="119">
        <v>500000</v>
      </c>
      <c r="E13" s="73"/>
      <c r="F13" s="79">
        <f>L1</f>
        <v>0</v>
      </c>
      <c r="I13" s="84"/>
      <c r="J13" s="84"/>
    </row>
    <row r="14" spans="1:20" x14ac:dyDescent="0.2">
      <c r="A14" s="79">
        <f t="shared" si="1"/>
        <v>0</v>
      </c>
      <c r="B14" s="53" t="s">
        <v>29</v>
      </c>
      <c r="C14" s="119">
        <f>Data9!C14</f>
        <v>40000</v>
      </c>
      <c r="E14" s="73"/>
      <c r="F14" s="79">
        <f>M1</f>
        <v>0</v>
      </c>
      <c r="H14" s="61">
        <f>I27</f>
        <v>7522271.4248497915</v>
      </c>
      <c r="I14" s="84">
        <f>I38</f>
        <v>11929195.847906616</v>
      </c>
      <c r="J14" s="54"/>
      <c r="K14" s="126"/>
      <c r="L14" s="110"/>
      <c r="M14" s="53" t="s">
        <v>18</v>
      </c>
    </row>
    <row r="15" spans="1:20" x14ac:dyDescent="0.2">
      <c r="A15" s="79">
        <f t="shared" si="1"/>
        <v>0</v>
      </c>
      <c r="B15" s="53" t="s">
        <v>30</v>
      </c>
      <c r="C15" s="119">
        <f>C14</f>
        <v>40000</v>
      </c>
      <c r="D15" s="53" t="s">
        <v>25</v>
      </c>
      <c r="E15" s="73">
        <f>I5</f>
        <v>2170000</v>
      </c>
      <c r="H15" s="57">
        <f>J28</f>
        <v>1510271.424850204</v>
      </c>
      <c r="I15" s="57">
        <f>J39</f>
        <v>1687650.1328782414</v>
      </c>
      <c r="J15" s="75"/>
      <c r="K15" s="76"/>
      <c r="L15" s="77"/>
    </row>
    <row r="16" spans="1:20" x14ac:dyDescent="0.2">
      <c r="A16" s="79">
        <f t="shared" si="1"/>
        <v>0</v>
      </c>
      <c r="D16" s="53" t="s">
        <v>3</v>
      </c>
      <c r="E16" s="73">
        <f>I6</f>
        <v>3800000</v>
      </c>
      <c r="H16" s="53">
        <v>35000</v>
      </c>
      <c r="I16" s="84">
        <f>K39</f>
        <v>42000</v>
      </c>
      <c r="J16" s="127"/>
      <c r="L16" s="111"/>
    </row>
    <row r="17" spans="1:21" x14ac:dyDescent="0.2">
      <c r="A17" s="79">
        <f t="shared" si="1"/>
        <v>0</v>
      </c>
      <c r="B17" s="53" t="s">
        <v>82</v>
      </c>
      <c r="C17" s="53" t="s">
        <v>224</v>
      </c>
      <c r="D17" s="53" t="s">
        <v>22</v>
      </c>
      <c r="E17" s="73">
        <f>H18</f>
        <v>1552271.424850204</v>
      </c>
      <c r="H17" s="53">
        <v>7000</v>
      </c>
      <c r="I17" s="84">
        <f>I45</f>
        <v>4194069.9734243527</v>
      </c>
      <c r="J17" s="48"/>
      <c r="L17" s="111"/>
      <c r="M17" s="61">
        <f>L11</f>
        <v>1489792.5</v>
      </c>
      <c r="N17" s="61">
        <f t="shared" ref="N17:U17" si="2">M19</f>
        <v>59964.148125</v>
      </c>
      <c r="O17" s="61">
        <f t="shared" si="2"/>
        <v>2413.5569620312499</v>
      </c>
      <c r="P17" s="61">
        <f t="shared" si="2"/>
        <v>97.145667721757818</v>
      </c>
      <c r="Q17" s="61">
        <f t="shared" si="2"/>
        <v>3.9101131258007524</v>
      </c>
      <c r="R17" s="61">
        <f t="shared" si="2"/>
        <v>0.15738205331348029</v>
      </c>
      <c r="S17" s="61">
        <f t="shared" si="2"/>
        <v>6.3346276458675823E-3</v>
      </c>
      <c r="T17" s="61">
        <f t="shared" si="2"/>
        <v>2.5496876274617021E-4</v>
      </c>
      <c r="U17" s="61">
        <f t="shared" si="2"/>
        <v>1.0262492700533351E-5</v>
      </c>
    </row>
    <row r="18" spans="1:21" x14ac:dyDescent="0.2">
      <c r="E18" s="73"/>
      <c r="H18" s="57">
        <f>SUM(H15:H17)</f>
        <v>1552271.424850204</v>
      </c>
      <c r="I18" s="57">
        <f>SUM(I15:I17)</f>
        <v>5923720.1063025938</v>
      </c>
      <c r="J18" s="127"/>
      <c r="L18" s="111"/>
      <c r="M18" s="128">
        <v>4.0250000000000001E-2</v>
      </c>
      <c r="N18" s="128">
        <f>M18</f>
        <v>4.0250000000000001E-2</v>
      </c>
      <c r="O18" s="128">
        <f t="shared" ref="O18:T18" si="3">N18</f>
        <v>4.0250000000000001E-2</v>
      </c>
      <c r="P18" s="128">
        <f t="shared" si="3"/>
        <v>4.0250000000000001E-2</v>
      </c>
      <c r="Q18" s="128">
        <f t="shared" si="3"/>
        <v>4.0250000000000001E-2</v>
      </c>
      <c r="R18" s="128">
        <f t="shared" si="3"/>
        <v>4.0250000000000001E-2</v>
      </c>
      <c r="S18" s="128">
        <f t="shared" si="3"/>
        <v>4.0250000000000001E-2</v>
      </c>
      <c r="T18" s="128">
        <f t="shared" si="3"/>
        <v>4.0250000000000001E-2</v>
      </c>
      <c r="U18" s="128">
        <f>T18</f>
        <v>4.0250000000000001E-2</v>
      </c>
    </row>
    <row r="19" spans="1:21" ht="17" thickBot="1" x14ac:dyDescent="0.25">
      <c r="E19" s="73"/>
      <c r="H19" s="84">
        <f>H14-H18</f>
        <v>5969999.9999995874</v>
      </c>
      <c r="I19" s="84">
        <f>I14-I18</f>
        <v>6005475.7416040218</v>
      </c>
      <c r="J19" s="129"/>
      <c r="K19" s="130"/>
      <c r="L19" s="112"/>
      <c r="M19" s="122">
        <f t="shared" ref="M19:U19" si="4">M17*M18</f>
        <v>59964.148125</v>
      </c>
      <c r="N19" s="122">
        <f t="shared" si="4"/>
        <v>2413.5569620312499</v>
      </c>
      <c r="O19" s="122">
        <f t="shared" si="4"/>
        <v>97.145667721757818</v>
      </c>
      <c r="P19" s="122">
        <f t="shared" si="4"/>
        <v>3.9101131258007524</v>
      </c>
      <c r="Q19" s="122">
        <f t="shared" si="4"/>
        <v>0.15738205331348029</v>
      </c>
      <c r="R19" s="122">
        <f t="shared" si="4"/>
        <v>6.3346276458675823E-3</v>
      </c>
      <c r="S19" s="122">
        <f t="shared" si="4"/>
        <v>2.5496876274617021E-4</v>
      </c>
      <c r="T19" s="122">
        <f t="shared" si="4"/>
        <v>1.0262492700533351E-5</v>
      </c>
      <c r="U19" s="122">
        <f t="shared" si="4"/>
        <v>4.1306533119646737E-7</v>
      </c>
    </row>
    <row r="20" spans="1:21" x14ac:dyDescent="0.2">
      <c r="B20" s="106" t="s">
        <v>47</v>
      </c>
      <c r="C20" s="106">
        <v>28</v>
      </c>
      <c r="J20" s="84"/>
    </row>
    <row r="21" spans="1:21" x14ac:dyDescent="0.2">
      <c r="B21" s="107" t="s">
        <v>34</v>
      </c>
      <c r="C21" s="131">
        <v>0.1</v>
      </c>
      <c r="M21" s="84">
        <f>M17+N21+O21+P21</f>
        <v>1552271.424849791</v>
      </c>
      <c r="N21" s="84">
        <f>N17+O17+P17+Q17+R17+S17+T17+U17</f>
        <v>62478.924849791023</v>
      </c>
    </row>
    <row r="22" spans="1:21" x14ac:dyDescent="0.2">
      <c r="B22" s="107" t="s">
        <v>48</v>
      </c>
      <c r="C22" s="123">
        <v>40000</v>
      </c>
    </row>
    <row r="23" spans="1:21" x14ac:dyDescent="0.2">
      <c r="B23" s="107" t="s">
        <v>49</v>
      </c>
      <c r="C23" s="123">
        <v>0</v>
      </c>
      <c r="I23" s="84"/>
      <c r="J23" s="84"/>
      <c r="K23" s="84"/>
      <c r="L23" s="84">
        <f>M17*L25</f>
        <v>62478.924849790987</v>
      </c>
    </row>
    <row r="24" spans="1:21" x14ac:dyDescent="0.2">
      <c r="B24" s="107" t="s">
        <v>41</v>
      </c>
      <c r="C24" s="131">
        <v>0.03</v>
      </c>
      <c r="L24" s="84">
        <f>M21-M17</f>
        <v>62478.924849790987</v>
      </c>
      <c r="M24" s="61">
        <f>I34</f>
        <v>4229545.7150299596</v>
      </c>
      <c r="N24" s="61">
        <f t="shared" ref="N24:U24" si="5">M26</f>
        <v>170239.21502995587</v>
      </c>
      <c r="O24" s="61">
        <f t="shared" si="5"/>
        <v>6852.1284049557244</v>
      </c>
      <c r="P24" s="61">
        <f t="shared" si="5"/>
        <v>275.79816829946793</v>
      </c>
      <c r="Q24" s="61">
        <f t="shared" si="5"/>
        <v>11.100876274053585</v>
      </c>
      <c r="R24" s="61">
        <f t="shared" si="5"/>
        <v>0.44681027003065682</v>
      </c>
      <c r="S24" s="61">
        <f t="shared" si="5"/>
        <v>1.7984113368733939E-2</v>
      </c>
      <c r="T24" s="61">
        <f t="shared" si="5"/>
        <v>7.2386056309154106E-4</v>
      </c>
      <c r="U24" s="61">
        <f t="shared" si="5"/>
        <v>2.9135387664434528E-5</v>
      </c>
    </row>
    <row r="25" spans="1:21" ht="17" thickBot="1" x14ac:dyDescent="0.25">
      <c r="B25" s="107" t="s">
        <v>36</v>
      </c>
      <c r="C25" s="131">
        <v>0.1</v>
      </c>
      <c r="D25" s="57"/>
      <c r="L25" s="124">
        <f>L24/M17</f>
        <v>4.1938004688432104E-2</v>
      </c>
      <c r="M25" s="128">
        <v>4.0250000000000001E-2</v>
      </c>
      <c r="N25" s="59">
        <f t="shared" ref="N25:U25" si="6">M25</f>
        <v>4.0250000000000001E-2</v>
      </c>
      <c r="O25" s="59">
        <f t="shared" si="6"/>
        <v>4.0250000000000001E-2</v>
      </c>
      <c r="P25" s="59">
        <f t="shared" si="6"/>
        <v>4.0250000000000001E-2</v>
      </c>
      <c r="Q25" s="59">
        <f t="shared" si="6"/>
        <v>4.0250000000000001E-2</v>
      </c>
      <c r="R25" s="59">
        <f t="shared" si="6"/>
        <v>4.0250000000000001E-2</v>
      </c>
      <c r="S25" s="59">
        <f t="shared" si="6"/>
        <v>4.0250000000000001E-2</v>
      </c>
      <c r="T25" s="59">
        <f t="shared" si="6"/>
        <v>4.0250000000000001E-2</v>
      </c>
      <c r="U25" s="59">
        <f t="shared" si="6"/>
        <v>4.0250000000000001E-2</v>
      </c>
    </row>
    <row r="26" spans="1:21" x14ac:dyDescent="0.2">
      <c r="B26" s="107" t="s">
        <v>50</v>
      </c>
      <c r="C26" s="107">
        <v>65</v>
      </c>
      <c r="H26" s="109" t="s">
        <v>10</v>
      </c>
      <c r="I26" s="119">
        <f>C5</f>
        <v>30000000</v>
      </c>
      <c r="J26" s="57">
        <f>I26*4.025%</f>
        <v>1207500</v>
      </c>
      <c r="K26" s="57"/>
      <c r="M26" s="122">
        <f t="shared" ref="M26:U26" si="7">M24*M25</f>
        <v>170239.21502995587</v>
      </c>
      <c r="N26" s="122">
        <f t="shared" si="7"/>
        <v>6852.1284049557244</v>
      </c>
      <c r="O26" s="122">
        <f t="shared" si="7"/>
        <v>275.79816829946793</v>
      </c>
      <c r="P26" s="122">
        <f t="shared" si="7"/>
        <v>11.100876274053585</v>
      </c>
      <c r="Q26" s="122">
        <f t="shared" si="7"/>
        <v>0.44681027003065682</v>
      </c>
      <c r="R26" s="122">
        <f t="shared" si="7"/>
        <v>1.7984113368733939E-2</v>
      </c>
      <c r="S26" s="122">
        <f t="shared" si="7"/>
        <v>7.2386056309154106E-4</v>
      </c>
      <c r="T26" s="122">
        <f t="shared" si="7"/>
        <v>2.9135387664434528E-5</v>
      </c>
      <c r="U26" s="122">
        <f t="shared" si="7"/>
        <v>1.1726993534934898E-6</v>
      </c>
    </row>
    <row r="27" spans="1:21" x14ac:dyDescent="0.2">
      <c r="B27" s="132" t="s">
        <v>51</v>
      </c>
      <c r="C27" s="107">
        <v>20</v>
      </c>
      <c r="H27" s="49" t="s">
        <v>11</v>
      </c>
      <c r="I27" s="119">
        <f>K5+M21</f>
        <v>7522271.4248497915</v>
      </c>
      <c r="J27" s="84">
        <f>I27*4.025%</f>
        <v>302771.42485020409</v>
      </c>
      <c r="K27" s="84"/>
    </row>
    <row r="28" spans="1:21" ht="17" thickBot="1" x14ac:dyDescent="0.25">
      <c r="B28" s="105" t="s">
        <v>52</v>
      </c>
      <c r="C28" s="125">
        <v>0.02</v>
      </c>
      <c r="H28" s="49" t="s">
        <v>12</v>
      </c>
      <c r="I28" s="119">
        <f>I27+I26</f>
        <v>37522271.424849793</v>
      </c>
      <c r="J28" s="119">
        <f>J27+J26</f>
        <v>1510271.424850204</v>
      </c>
      <c r="K28" s="84"/>
      <c r="L28" s="119"/>
      <c r="M28" s="84"/>
      <c r="N28" s="84">
        <f>N24+O24+P24+Q24+R24+S24+T24+U24</f>
        <v>177378.70802686445</v>
      </c>
    </row>
    <row r="29" spans="1:21" x14ac:dyDescent="0.2">
      <c r="H29" s="49" t="s">
        <v>13</v>
      </c>
      <c r="I29" s="84">
        <f>J28+L8+L9+I27+I6</f>
        <v>12874542.849699996</v>
      </c>
      <c r="J29" s="84"/>
      <c r="K29" s="84"/>
    </row>
    <row r="30" spans="1:21" x14ac:dyDescent="0.2">
      <c r="B30" s="53" t="s">
        <v>58</v>
      </c>
      <c r="C30" s="4">
        <f>Data!E37</f>
        <v>23562361.274140302</v>
      </c>
      <c r="H30" s="49" t="s">
        <v>14</v>
      </c>
      <c r="I30" s="84">
        <f>I28-I29</f>
        <v>24647728.575149797</v>
      </c>
      <c r="J30" s="84"/>
      <c r="K30" s="84"/>
      <c r="N30" s="84">
        <f>M24+N28</f>
        <v>4406924.4230568241</v>
      </c>
    </row>
    <row r="31" spans="1:21" x14ac:dyDescent="0.2">
      <c r="B31" s="53" t="s">
        <v>59</v>
      </c>
      <c r="C31" s="84">
        <f>Data2!H23</f>
        <v>1925.5933860290706</v>
      </c>
      <c r="E31" s="53" t="s">
        <v>127</v>
      </c>
      <c r="F31" s="53">
        <f>Data2!J88</f>
        <v>8</v>
      </c>
      <c r="H31" s="49" t="s">
        <v>15</v>
      </c>
      <c r="I31" s="53">
        <v>3500000</v>
      </c>
    </row>
    <row r="32" spans="1:21" ht="17" thickBot="1" x14ac:dyDescent="0.25">
      <c r="E32" s="53" t="s">
        <v>128</v>
      </c>
      <c r="F32" s="79">
        <f>Data2!K81</f>
        <v>12236415.769338634</v>
      </c>
      <c r="H32" s="51" t="s">
        <v>16</v>
      </c>
      <c r="I32" s="84">
        <f>IF((I30-I31)&lt;0,0,I30-I31)</f>
        <v>21147728.575149797</v>
      </c>
      <c r="J32" s="84"/>
      <c r="K32" s="84"/>
      <c r="L32" s="84"/>
    </row>
    <row r="33" spans="2:18" ht="17" thickBot="1" x14ac:dyDescent="0.25">
      <c r="B33" s="53" t="s">
        <v>60</v>
      </c>
      <c r="C33" s="53">
        <v>1000</v>
      </c>
      <c r="E33" s="53" t="s">
        <v>129</v>
      </c>
      <c r="F33" s="84">
        <f>C31</f>
        <v>1925.5933860290706</v>
      </c>
      <c r="M33" s="61">
        <f>I45</f>
        <v>4194069.9734243527</v>
      </c>
      <c r="N33" s="61">
        <f>M35</f>
        <v>168811.31643033019</v>
      </c>
      <c r="O33" s="61">
        <f>N35</f>
        <v>6794.6554863207903</v>
      </c>
      <c r="P33" s="61">
        <f>O35</f>
        <v>273.48488332441184</v>
      </c>
      <c r="Q33" s="61">
        <f>P35</f>
        <v>11.007766553807576</v>
      </c>
      <c r="R33" s="61">
        <f>Q35</f>
        <v>0.44306260379075496</v>
      </c>
    </row>
    <row r="34" spans="2:18" ht="17" thickBot="1" x14ac:dyDescent="0.25">
      <c r="H34" s="89" t="s">
        <v>17</v>
      </c>
      <c r="I34" s="133">
        <f>I32*0.2</f>
        <v>4229545.7150299596</v>
      </c>
      <c r="J34" s="84"/>
      <c r="K34" s="84"/>
      <c r="M34" s="128">
        <v>4.0250000000000001E-2</v>
      </c>
      <c r="N34" s="59">
        <f>M34</f>
        <v>4.0250000000000001E-2</v>
      </c>
      <c r="O34" s="59">
        <f>N34</f>
        <v>4.0250000000000001E-2</v>
      </c>
      <c r="P34" s="59">
        <f>O34</f>
        <v>4.0250000000000001E-2</v>
      </c>
      <c r="Q34" s="59">
        <f>P34</f>
        <v>4.0250000000000001E-2</v>
      </c>
      <c r="R34" s="59">
        <f>Q34</f>
        <v>4.0250000000000001E-2</v>
      </c>
    </row>
    <row r="35" spans="2:18" x14ac:dyDescent="0.2">
      <c r="B35" s="53" t="s">
        <v>61</v>
      </c>
      <c r="C35" s="4">
        <f>Data9!C19</f>
        <v>0</v>
      </c>
      <c r="D35" s="53" t="e">
        <f>B101</f>
        <v>#REF!</v>
      </c>
      <c r="E35" s="79" t="e">
        <f>C101</f>
        <v>#REF!</v>
      </c>
      <c r="M35" s="122">
        <f t="shared" ref="M35:R35" si="8">M33*M34</f>
        <v>168811.31643033019</v>
      </c>
      <c r="N35" s="122">
        <f t="shared" si="8"/>
        <v>6794.6554863207903</v>
      </c>
      <c r="O35" s="122">
        <f t="shared" si="8"/>
        <v>273.48488332441184</v>
      </c>
      <c r="P35" s="122">
        <f t="shared" si="8"/>
        <v>11.007766553807576</v>
      </c>
      <c r="Q35" s="122">
        <f t="shared" si="8"/>
        <v>0.44306260379075496</v>
      </c>
      <c r="R35" s="122">
        <f t="shared" si="8"/>
        <v>1.7833269802577888E-2</v>
      </c>
    </row>
    <row r="36" spans="2:18" ht="17" thickBot="1" x14ac:dyDescent="0.25">
      <c r="B36" s="53" t="s">
        <v>62</v>
      </c>
      <c r="C36" s="4">
        <f>Data9!C20</f>
        <v>500000</v>
      </c>
      <c r="D36" s="53" t="e">
        <f>B102</f>
        <v>#REF!</v>
      </c>
      <c r="E36" s="79" t="e">
        <f t="shared" ref="E36:E57" si="9">C102</f>
        <v>#REF!</v>
      </c>
    </row>
    <row r="37" spans="2:18" x14ac:dyDescent="0.2">
      <c r="B37" s="53" t="s">
        <v>80</v>
      </c>
      <c r="C37" s="4">
        <f>Data9!C21</f>
        <v>1</v>
      </c>
      <c r="D37" s="53" t="e">
        <f>B103</f>
        <v>#REF!</v>
      </c>
      <c r="E37" s="79" t="e">
        <f t="shared" si="9"/>
        <v>#REF!</v>
      </c>
      <c r="H37" s="109" t="s">
        <v>10</v>
      </c>
      <c r="I37" s="57">
        <f>I26</f>
        <v>30000000</v>
      </c>
      <c r="M37" s="84">
        <f>M33+N37</f>
        <v>4369960.8810534859</v>
      </c>
      <c r="N37" s="84">
        <f>N33+O33+P33+Q33+R33+S33+T33+U33</f>
        <v>175890.907629133</v>
      </c>
    </row>
    <row r="38" spans="2:18" x14ac:dyDescent="0.2">
      <c r="B38" s="53" t="s">
        <v>71</v>
      </c>
      <c r="C38" s="72">
        <f>Data9!C22</f>
        <v>0.09</v>
      </c>
      <c r="D38" s="53" t="e">
        <f>B104</f>
        <v>#REF!</v>
      </c>
      <c r="E38" s="79" t="e">
        <f>C104</f>
        <v>#REF!</v>
      </c>
      <c r="H38" s="49" t="s">
        <v>11</v>
      </c>
      <c r="I38" s="84">
        <f>I27+N30</f>
        <v>11929195.847906616</v>
      </c>
      <c r="L38" s="84"/>
    </row>
    <row r="39" spans="2:18" x14ac:dyDescent="0.2">
      <c r="B39" s="53" t="s">
        <v>72</v>
      </c>
      <c r="C39" s="72">
        <f>Data9!C23</f>
        <v>0</v>
      </c>
      <c r="D39" s="53" t="e">
        <f>B105</f>
        <v>#REF!</v>
      </c>
      <c r="E39" s="79" t="e">
        <f>-C105</f>
        <v>#REF!</v>
      </c>
      <c r="H39" s="49" t="s">
        <v>12</v>
      </c>
      <c r="I39" s="84">
        <f>I37+I38</f>
        <v>41929195.847906619</v>
      </c>
      <c r="J39" s="119">
        <f>I39*4.025%</f>
        <v>1687650.1328782414</v>
      </c>
      <c r="K39" s="84">
        <f>L8+L9</f>
        <v>42000</v>
      </c>
      <c r="L39" s="84"/>
    </row>
    <row r="40" spans="2:18" x14ac:dyDescent="0.2">
      <c r="B40" s="53" t="s">
        <v>36</v>
      </c>
      <c r="C40" s="72">
        <f>Data9!C24</f>
        <v>0</v>
      </c>
      <c r="D40" s="53" t="e">
        <f>B106</f>
        <v>#REF!</v>
      </c>
      <c r="E40" s="79" t="e">
        <f t="shared" si="9"/>
        <v>#REF!</v>
      </c>
      <c r="H40" s="49" t="s">
        <v>13</v>
      </c>
      <c r="I40" s="84">
        <f>J39+K39+I6+I38</f>
        <v>17458845.980784856</v>
      </c>
      <c r="K40" s="4"/>
      <c r="L40" s="84"/>
      <c r="M40" s="61">
        <f>I52</f>
        <v>24471837.649687394</v>
      </c>
      <c r="N40" s="61">
        <f>M42</f>
        <v>984991.46539991768</v>
      </c>
      <c r="O40" s="61">
        <f>N42</f>
        <v>39645.906482346691</v>
      </c>
      <c r="P40" s="61">
        <f>O42</f>
        <v>1595.7477359144543</v>
      </c>
      <c r="Q40" s="61">
        <f>P42</f>
        <v>64.228846370556795</v>
      </c>
      <c r="R40" s="61">
        <f>Q42</f>
        <v>2.5852110664149111</v>
      </c>
    </row>
    <row r="41" spans="2:18" ht="17" thickBot="1" x14ac:dyDescent="0.25">
      <c r="B41" s="53" t="s">
        <v>79</v>
      </c>
      <c r="C41" s="53" t="s">
        <v>69</v>
      </c>
      <c r="E41" s="79" t="e">
        <f t="shared" si="9"/>
        <v>#REF!</v>
      </c>
      <c r="H41" s="49" t="s">
        <v>14</v>
      </c>
      <c r="I41" s="84">
        <f>I39-I40</f>
        <v>24470349.867121764</v>
      </c>
      <c r="M41" s="128">
        <v>4.0250000000000001E-2</v>
      </c>
      <c r="N41" s="59">
        <f>M41</f>
        <v>4.0250000000000001E-2</v>
      </c>
      <c r="O41" s="59">
        <f>N41</f>
        <v>4.0250000000000001E-2</v>
      </c>
      <c r="P41" s="59">
        <f>O41</f>
        <v>4.0250000000000001E-2</v>
      </c>
      <c r="Q41" s="59">
        <f>P41</f>
        <v>4.0250000000000001E-2</v>
      </c>
      <c r="R41" s="59">
        <f>Q41</f>
        <v>4.0250000000000001E-2</v>
      </c>
    </row>
    <row r="42" spans="2:18" ht="17" thickBot="1" x14ac:dyDescent="0.25">
      <c r="B42" s="53" t="s">
        <v>81</v>
      </c>
      <c r="C42" s="134">
        <f>Data9!C25</f>
        <v>0.18</v>
      </c>
      <c r="E42" s="79" t="e">
        <f t="shared" si="9"/>
        <v>#REF!</v>
      </c>
      <c r="H42" s="49" t="s">
        <v>15</v>
      </c>
      <c r="I42" s="53">
        <v>3500000</v>
      </c>
      <c r="M42" s="122">
        <f t="shared" ref="M42:R42" si="10">M40*M41</f>
        <v>984991.46539991768</v>
      </c>
      <c r="N42" s="122">
        <f t="shared" si="10"/>
        <v>39645.906482346691</v>
      </c>
      <c r="O42" s="122">
        <f t="shared" si="10"/>
        <v>1595.7477359144543</v>
      </c>
      <c r="P42" s="122">
        <f t="shared" si="10"/>
        <v>64.228846370556795</v>
      </c>
      <c r="Q42" s="122">
        <f t="shared" si="10"/>
        <v>2.5852110664149111</v>
      </c>
      <c r="R42" s="122">
        <f t="shared" si="10"/>
        <v>0.10405474542320017</v>
      </c>
    </row>
    <row r="43" spans="2:18" ht="17" thickBot="1" x14ac:dyDescent="0.25">
      <c r="E43" s="79" t="e">
        <f t="shared" si="9"/>
        <v>#REF!</v>
      </c>
      <c r="H43" s="51" t="s">
        <v>16</v>
      </c>
      <c r="I43" s="84">
        <f>IF((I41-I42)&lt;0,0,I41-I42)</f>
        <v>20970349.867121764</v>
      </c>
      <c r="J43" s="84"/>
    </row>
    <row r="44" spans="2:18" ht="17" thickBot="1" x14ac:dyDescent="0.25">
      <c r="E44" s="79" t="e">
        <f t="shared" si="9"/>
        <v>#REF!</v>
      </c>
      <c r="N44" s="84">
        <f>N40+O40+P40+Q40+R40+S40+T40+U40</f>
        <v>1026299.9336756158</v>
      </c>
    </row>
    <row r="45" spans="2:18" ht="17" thickBot="1" x14ac:dyDescent="0.25">
      <c r="B45" s="53" t="s">
        <v>93</v>
      </c>
      <c r="E45" s="79" t="e">
        <f t="shared" si="9"/>
        <v>#REF!</v>
      </c>
      <c r="H45" s="89" t="s">
        <v>17</v>
      </c>
      <c r="I45" s="84">
        <f>I43*0.2</f>
        <v>4194069.9734243527</v>
      </c>
    </row>
    <row r="46" spans="2:18" x14ac:dyDescent="0.2">
      <c r="E46" s="79" t="e">
        <f t="shared" si="9"/>
        <v>#REF!</v>
      </c>
    </row>
    <row r="47" spans="2:18" ht="17" thickBot="1" x14ac:dyDescent="0.25">
      <c r="B47" s="113" t="s">
        <v>83</v>
      </c>
      <c r="C47" s="113">
        <v>1330</v>
      </c>
      <c r="E47" s="79" t="e">
        <f t="shared" si="9"/>
        <v>#REF!</v>
      </c>
      <c r="M47" s="61">
        <f>I59</f>
        <v>4194367.5299374787</v>
      </c>
      <c r="N47" s="61">
        <f>M49</f>
        <v>168823.29307998353</v>
      </c>
      <c r="O47" s="61">
        <f>N49</f>
        <v>6795.1375464693374</v>
      </c>
      <c r="P47" s="61">
        <f>O49</f>
        <v>273.50428624539086</v>
      </c>
      <c r="Q47" s="61">
        <f>P49</f>
        <v>11.008547521376983</v>
      </c>
      <c r="R47" s="61">
        <f>Q49</f>
        <v>0.44309403773542355</v>
      </c>
    </row>
    <row r="48" spans="2:18" x14ac:dyDescent="0.2">
      <c r="B48" s="113" t="s">
        <v>84</v>
      </c>
      <c r="C48" s="113">
        <v>1895</v>
      </c>
      <c r="E48" s="79" t="e">
        <f t="shared" si="9"/>
        <v>#REF!</v>
      </c>
      <c r="H48" s="109" t="s">
        <v>10</v>
      </c>
      <c r="I48" s="57">
        <f>I37</f>
        <v>30000000</v>
      </c>
      <c r="M48" s="128">
        <v>4.0250000000000001E-2</v>
      </c>
      <c r="N48" s="59">
        <f>M48</f>
        <v>4.0250000000000001E-2</v>
      </c>
      <c r="O48" s="59">
        <f>N48</f>
        <v>4.0250000000000001E-2</v>
      </c>
      <c r="P48" s="59">
        <f>O48</f>
        <v>4.0250000000000001E-2</v>
      </c>
      <c r="Q48" s="59">
        <f>P48</f>
        <v>4.0250000000000001E-2</v>
      </c>
      <c r="R48" s="59">
        <f>Q48</f>
        <v>4.0250000000000001E-2</v>
      </c>
    </row>
    <row r="49" spans="2:18" x14ac:dyDescent="0.2">
      <c r="B49" s="113" t="s">
        <v>85</v>
      </c>
      <c r="C49" s="113">
        <v>1520</v>
      </c>
      <c r="E49" s="79" t="e">
        <f t="shared" si="9"/>
        <v>#REF!</v>
      </c>
      <c r="H49" s="49" t="s">
        <v>11</v>
      </c>
      <c r="I49" s="84">
        <f>I27+M37</f>
        <v>11892232.305903278</v>
      </c>
      <c r="M49" s="122">
        <f t="shared" ref="M49:R49" si="11">M47*M48</f>
        <v>168823.29307998353</v>
      </c>
      <c r="N49" s="122">
        <f t="shared" si="11"/>
        <v>6795.1375464693374</v>
      </c>
      <c r="O49" s="122">
        <f t="shared" si="11"/>
        <v>273.50428624539086</v>
      </c>
      <c r="P49" s="122">
        <f t="shared" si="11"/>
        <v>11.008547521376983</v>
      </c>
      <c r="Q49" s="122">
        <f t="shared" si="11"/>
        <v>0.44309403773542355</v>
      </c>
      <c r="R49" s="122">
        <f t="shared" si="11"/>
        <v>1.7834535018850798E-2</v>
      </c>
    </row>
    <row r="50" spans="2:18" x14ac:dyDescent="0.2">
      <c r="B50" s="113" t="s">
        <v>86</v>
      </c>
      <c r="C50" s="113">
        <v>1258</v>
      </c>
      <c r="E50" s="79" t="e">
        <f t="shared" si="9"/>
        <v>#REF!</v>
      </c>
      <c r="H50" s="49" t="s">
        <v>12</v>
      </c>
      <c r="I50" s="84">
        <f>I48+I49</f>
        <v>41892232.305903278</v>
      </c>
      <c r="J50" s="84">
        <f>I50*4.025%</f>
        <v>1686162.3503126069</v>
      </c>
      <c r="K50" s="84">
        <f>K39</f>
        <v>42000</v>
      </c>
    </row>
    <row r="51" spans="2:18" x14ac:dyDescent="0.2">
      <c r="B51" s="113" t="s">
        <v>87</v>
      </c>
      <c r="C51" s="113">
        <v>998</v>
      </c>
      <c r="E51" s="79" t="e">
        <f>C117</f>
        <v>#REF!</v>
      </c>
      <c r="H51" s="49" t="s">
        <v>13</v>
      </c>
      <c r="I51" s="84">
        <f>J50+K50+I49+I6</f>
        <v>17420394.656215884</v>
      </c>
      <c r="M51" s="84">
        <f>M47+N51</f>
        <v>4370270.9164917357</v>
      </c>
      <c r="N51" s="84">
        <f>N47+O47+P47+Q47+R47+S47+T47+U47</f>
        <v>175903.38655425736</v>
      </c>
    </row>
    <row r="52" spans="2:18" x14ac:dyDescent="0.2">
      <c r="E52" s="79" t="e">
        <f t="shared" si="9"/>
        <v>#REF!</v>
      </c>
      <c r="H52" s="49" t="s">
        <v>14</v>
      </c>
      <c r="I52" s="84">
        <f>I50-I51</f>
        <v>24471837.649687394</v>
      </c>
    </row>
    <row r="53" spans="2:18" x14ac:dyDescent="0.2">
      <c r="B53" s="113" t="s">
        <v>102</v>
      </c>
      <c r="C53" s="113" t="s">
        <v>87</v>
      </c>
      <c r="E53" s="79" t="e">
        <f t="shared" si="9"/>
        <v>#REF!</v>
      </c>
      <c r="H53" s="49"/>
      <c r="I53" s="84"/>
    </row>
    <row r="54" spans="2:18" x14ac:dyDescent="0.2">
      <c r="B54" s="113" t="s">
        <v>102</v>
      </c>
      <c r="C54" s="113"/>
      <c r="E54" s="79" t="e">
        <f t="shared" si="9"/>
        <v>#REF!</v>
      </c>
      <c r="H54" s="49" t="s">
        <v>15</v>
      </c>
      <c r="I54" s="53">
        <v>3500000</v>
      </c>
    </row>
    <row r="55" spans="2:18" x14ac:dyDescent="0.2">
      <c r="B55" s="113" t="s">
        <v>103</v>
      </c>
      <c r="C55" s="113" t="s">
        <v>104</v>
      </c>
      <c r="E55" s="79" t="e">
        <f t="shared" si="9"/>
        <v>#REF!</v>
      </c>
      <c r="H55" s="49"/>
    </row>
    <row r="56" spans="2:18" x14ac:dyDescent="0.2">
      <c r="E56" s="79" t="e">
        <f t="shared" si="9"/>
        <v>#REF!</v>
      </c>
      <c r="H56" s="49"/>
    </row>
    <row r="57" spans="2:18" ht="17" thickBot="1" x14ac:dyDescent="0.25">
      <c r="E57" s="79" t="e">
        <f t="shared" si="9"/>
        <v>#REF!</v>
      </c>
      <c r="H57" s="51" t="s">
        <v>16</v>
      </c>
      <c r="I57" s="84">
        <f>IF((I52-I54)&lt;0,0,I52-I54)</f>
        <v>20971837.649687394</v>
      </c>
    </row>
    <row r="58" spans="2:18" ht="17" thickBot="1" x14ac:dyDescent="0.25">
      <c r="B58" s="113" t="s">
        <v>29</v>
      </c>
      <c r="C58" s="113">
        <v>50000</v>
      </c>
    </row>
    <row r="59" spans="2:18" ht="17" thickBot="1" x14ac:dyDescent="0.25">
      <c r="H59" s="89" t="s">
        <v>17</v>
      </c>
      <c r="I59" s="84">
        <f>I57*0.2</f>
        <v>4194367.5299374787</v>
      </c>
    </row>
    <row r="60" spans="2:18" x14ac:dyDescent="0.2">
      <c r="B60" s="53" t="s">
        <v>94</v>
      </c>
    </row>
    <row r="61" spans="2:18" ht="17" thickBot="1" x14ac:dyDescent="0.25"/>
    <row r="62" spans="2:18" x14ac:dyDescent="0.2">
      <c r="B62" s="113" t="s">
        <v>89</v>
      </c>
      <c r="C62" s="113">
        <v>2000000</v>
      </c>
      <c r="H62" s="109" t="s">
        <v>10</v>
      </c>
      <c r="I62" s="57">
        <f>I48</f>
        <v>30000000</v>
      </c>
    </row>
    <row r="63" spans="2:18" x14ac:dyDescent="0.2">
      <c r="B63" s="113" t="s">
        <v>27</v>
      </c>
      <c r="C63" s="113">
        <v>1000000</v>
      </c>
      <c r="H63" s="49" t="s">
        <v>11</v>
      </c>
      <c r="I63" s="84">
        <f>I27+M51</f>
        <v>11892542.341341527</v>
      </c>
    </row>
    <row r="64" spans="2:18" x14ac:dyDescent="0.2">
      <c r="B64" s="113" t="s">
        <v>28</v>
      </c>
      <c r="C64" s="113">
        <v>0</v>
      </c>
      <c r="H64" s="49" t="s">
        <v>12</v>
      </c>
      <c r="I64" s="84">
        <f>I62+I63</f>
        <v>41892542.341341525</v>
      </c>
      <c r="J64" s="84">
        <f>I64*4.025%</f>
        <v>1686174.8292389964</v>
      </c>
      <c r="K64" s="84">
        <f>K50</f>
        <v>42000</v>
      </c>
    </row>
    <row r="65" spans="2:9" x14ac:dyDescent="0.2">
      <c r="B65" s="113" t="s">
        <v>90</v>
      </c>
      <c r="C65" s="113">
        <v>0</v>
      </c>
      <c r="H65" s="49" t="s">
        <v>13</v>
      </c>
      <c r="I65" s="84">
        <f>J64+K64+I63+I6</f>
        <v>17420717.170580521</v>
      </c>
    </row>
    <row r="66" spans="2:9" x14ac:dyDescent="0.2">
      <c r="B66" s="113" t="s">
        <v>91</v>
      </c>
      <c r="C66" s="113">
        <v>0</v>
      </c>
      <c r="H66" s="49" t="s">
        <v>14</v>
      </c>
      <c r="I66" s="84">
        <f>I64-I65</f>
        <v>24471825.170761004</v>
      </c>
    </row>
    <row r="67" spans="2:9" x14ac:dyDescent="0.2">
      <c r="H67" s="49" t="s">
        <v>15</v>
      </c>
      <c r="I67" s="53">
        <v>3500000</v>
      </c>
    </row>
    <row r="68" spans="2:9" ht="17" thickBot="1" x14ac:dyDescent="0.25">
      <c r="B68" s="53" t="s">
        <v>92</v>
      </c>
      <c r="H68" s="51" t="s">
        <v>16</v>
      </c>
      <c r="I68" s="84">
        <f>IF((I66-I67)&lt;0,0,I66-I67)</f>
        <v>20971825.170761004</v>
      </c>
    </row>
    <row r="69" spans="2:9" ht="17" thickBot="1" x14ac:dyDescent="0.25">
      <c r="B69" s="113" t="s">
        <v>118</v>
      </c>
    </row>
    <row r="70" spans="2:9" ht="17" thickBot="1" x14ac:dyDescent="0.25">
      <c r="B70" s="113" t="s">
        <v>119</v>
      </c>
      <c r="H70" s="89" t="s">
        <v>17</v>
      </c>
      <c r="I70" s="84">
        <f>I68*0.2</f>
        <v>4194365.0341522014</v>
      </c>
    </row>
    <row r="71" spans="2:9" x14ac:dyDescent="0.2">
      <c r="B71" s="113" t="s">
        <v>120</v>
      </c>
    </row>
    <row r="72" spans="2:9" x14ac:dyDescent="0.2">
      <c r="B72" s="113" t="s">
        <v>121</v>
      </c>
    </row>
    <row r="75" spans="2:9" x14ac:dyDescent="0.2">
      <c r="B75" s="53" t="s">
        <v>95</v>
      </c>
    </row>
    <row r="76" spans="2:9" x14ac:dyDescent="0.2">
      <c r="B76" s="113" t="s">
        <v>72</v>
      </c>
      <c r="C76" s="135">
        <v>2.64E-2</v>
      </c>
    </row>
    <row r="77" spans="2:9" x14ac:dyDescent="0.2">
      <c r="B77" s="113" t="s">
        <v>96</v>
      </c>
      <c r="C77" s="135">
        <v>1.34E-2</v>
      </c>
    </row>
    <row r="78" spans="2:9" x14ac:dyDescent="0.2">
      <c r="B78" s="113" t="s">
        <v>97</v>
      </c>
      <c r="C78" s="135">
        <v>1.61E-2</v>
      </c>
    </row>
    <row r="81" spans="2:5" x14ac:dyDescent="0.2">
      <c r="B81" s="53" t="s">
        <v>98</v>
      </c>
    </row>
    <row r="82" spans="2:5" x14ac:dyDescent="0.2">
      <c r="B82" s="53" t="s">
        <v>99</v>
      </c>
    </row>
    <row r="83" spans="2:5" x14ac:dyDescent="0.2">
      <c r="B83" s="113" t="s">
        <v>87</v>
      </c>
      <c r="C83" s="113">
        <v>940</v>
      </c>
    </row>
    <row r="84" spans="2:5" x14ac:dyDescent="0.2">
      <c r="B84" s="53" t="s">
        <v>100</v>
      </c>
    </row>
    <row r="85" spans="2:5" x14ac:dyDescent="0.2">
      <c r="B85" s="113"/>
      <c r="C85" s="113"/>
    </row>
    <row r="87" spans="2:5" x14ac:dyDescent="0.2">
      <c r="B87" s="53" t="s">
        <v>106</v>
      </c>
    </row>
    <row r="89" spans="2:5" x14ac:dyDescent="0.2">
      <c r="B89" s="53" t="s">
        <v>107</v>
      </c>
      <c r="C89" s="4">
        <v>300000</v>
      </c>
    </row>
    <row r="90" spans="2:5" x14ac:dyDescent="0.2">
      <c r="B90" s="53" t="s">
        <v>108</v>
      </c>
      <c r="C90" s="4">
        <v>300000</v>
      </c>
      <c r="D90" s="53" t="s">
        <v>110</v>
      </c>
      <c r="E90" s="53" t="s">
        <v>111</v>
      </c>
    </row>
    <row r="91" spans="2:5" x14ac:dyDescent="0.2">
      <c r="B91" s="53" t="s">
        <v>109</v>
      </c>
      <c r="C91" s="4">
        <v>300000</v>
      </c>
      <c r="D91" s="53" t="s">
        <v>110</v>
      </c>
      <c r="E91" s="53" t="s">
        <v>112</v>
      </c>
    </row>
    <row r="92" spans="2:5" x14ac:dyDescent="0.2">
      <c r="B92" s="53" t="s">
        <v>113</v>
      </c>
      <c r="C92" s="4">
        <v>30000</v>
      </c>
      <c r="D92" s="53" t="s">
        <v>114</v>
      </c>
      <c r="E92" s="53" t="s">
        <v>114</v>
      </c>
    </row>
    <row r="94" spans="2:5" x14ac:dyDescent="0.2">
      <c r="B94" s="53" t="s">
        <v>115</v>
      </c>
      <c r="C94" s="53" t="s">
        <v>116</v>
      </c>
    </row>
    <row r="95" spans="2:5" x14ac:dyDescent="0.2">
      <c r="C95" s="53" t="s">
        <v>117</v>
      </c>
    </row>
    <row r="96" spans="2:5" x14ac:dyDescent="0.2">
      <c r="C96" s="4"/>
    </row>
    <row r="97" spans="2:21" x14ac:dyDescent="0.2">
      <c r="B97" s="79">
        <f>Data2!K85</f>
        <v>11155821.647989538</v>
      </c>
      <c r="C97" s="79">
        <f>Data2!L85</f>
        <v>9998776.9299195465</v>
      </c>
      <c r="D97" s="79">
        <f>Data2!M85</f>
        <v>8761648.7982982397</v>
      </c>
      <c r="E97" s="79">
        <f>Data2!N85</f>
        <v>7440654.7157317651</v>
      </c>
      <c r="F97" s="79">
        <f>Data2!O85</f>
        <v>6031856.6936197486</v>
      </c>
      <c r="G97" s="79">
        <f>Data2!P85</f>
        <v>4531155.3519067196</v>
      </c>
      <c r="H97" s="79">
        <f>Data2!Q85</f>
        <v>2934283.7617936675</v>
      </c>
      <c r="I97" s="79">
        <f>Data2!R85</f>
        <v>1236801.0637173818</v>
      </c>
      <c r="J97" s="79">
        <f>Data2!S85</f>
        <v>0</v>
      </c>
      <c r="K97" s="79">
        <f>Data2!T85</f>
        <v>0</v>
      </c>
      <c r="L97" s="79">
        <f>Data2!U85</f>
        <v>0</v>
      </c>
      <c r="M97" s="79">
        <f>Data2!V85</f>
        <v>0</v>
      </c>
      <c r="N97" s="79">
        <f>Data2!W85</f>
        <v>0</v>
      </c>
      <c r="O97" s="79">
        <f>Data2!X85</f>
        <v>0</v>
      </c>
      <c r="P97" s="79">
        <f>Data2!Y85</f>
        <v>0</v>
      </c>
      <c r="Q97" s="79">
        <f>Data2!Z85</f>
        <v>0</v>
      </c>
      <c r="R97" s="79">
        <f>Data2!AA85</f>
        <v>0</v>
      </c>
      <c r="S97" s="79">
        <f>Data2!AB85</f>
        <v>0</v>
      </c>
      <c r="T97" s="79">
        <f>Data2!AC85</f>
        <v>0</v>
      </c>
      <c r="U97" s="79">
        <f>Data2!AD85</f>
        <v>0</v>
      </c>
    </row>
    <row r="98" spans="2:21" x14ac:dyDescent="0.2">
      <c r="C98" s="4"/>
    </row>
    <row r="99" spans="2:21" x14ac:dyDescent="0.2">
      <c r="C99" s="4"/>
    </row>
    <row r="101" spans="2:21" x14ac:dyDescent="0.2">
      <c r="B101" s="53" t="e">
        <f>#REF!</f>
        <v>#REF!</v>
      </c>
      <c r="C101" s="79" t="e">
        <f>#REF!</f>
        <v>#REF!</v>
      </c>
    </row>
    <row r="102" spans="2:21" x14ac:dyDescent="0.2">
      <c r="B102" s="53" t="e">
        <f>#REF!</f>
        <v>#REF!</v>
      </c>
      <c r="C102" s="79" t="e">
        <f>#REF!</f>
        <v>#REF!</v>
      </c>
    </row>
    <row r="103" spans="2:21" x14ac:dyDescent="0.2">
      <c r="B103" s="53" t="e">
        <f>#REF!</f>
        <v>#REF!</v>
      </c>
      <c r="C103" s="79" t="e">
        <f>#REF!</f>
        <v>#REF!</v>
      </c>
    </row>
    <row r="104" spans="2:21" x14ac:dyDescent="0.2">
      <c r="B104" s="53" t="e">
        <f>#REF!</f>
        <v>#REF!</v>
      </c>
      <c r="C104" s="79" t="e">
        <f>#REF!</f>
        <v>#REF!</v>
      </c>
    </row>
    <row r="105" spans="2:21" x14ac:dyDescent="0.2">
      <c r="B105" s="53" t="e">
        <f>#REF!</f>
        <v>#REF!</v>
      </c>
      <c r="C105" s="79" t="e">
        <f>#REF!</f>
        <v>#REF!</v>
      </c>
    </row>
    <row r="106" spans="2:21" x14ac:dyDescent="0.2">
      <c r="B106" s="53" t="e">
        <f>#REF!</f>
        <v>#REF!</v>
      </c>
      <c r="C106" s="79" t="e">
        <f>#REF!</f>
        <v>#REF!</v>
      </c>
    </row>
    <row r="107" spans="2:21" x14ac:dyDescent="0.2">
      <c r="B107" s="53" t="e">
        <f>#REF!</f>
        <v>#REF!</v>
      </c>
      <c r="C107" s="79" t="e">
        <f>#REF!</f>
        <v>#REF!</v>
      </c>
    </row>
    <row r="108" spans="2:21" x14ac:dyDescent="0.2">
      <c r="B108" s="53" t="e">
        <f>#REF!</f>
        <v>#REF!</v>
      </c>
      <c r="C108" s="79" t="e">
        <f>#REF!</f>
        <v>#REF!</v>
      </c>
    </row>
    <row r="109" spans="2:21" x14ac:dyDescent="0.2">
      <c r="B109" s="53" t="e">
        <f>#REF!</f>
        <v>#REF!</v>
      </c>
      <c r="C109" s="79" t="e">
        <f>#REF!</f>
        <v>#REF!</v>
      </c>
    </row>
    <row r="110" spans="2:21" x14ac:dyDescent="0.2">
      <c r="B110" s="53" t="e">
        <f>#REF!</f>
        <v>#REF!</v>
      </c>
      <c r="C110" s="79" t="e">
        <f>#REF!</f>
        <v>#REF!</v>
      </c>
    </row>
    <row r="111" spans="2:21" x14ac:dyDescent="0.2">
      <c r="B111" s="53" t="e">
        <f>#REF!</f>
        <v>#REF!</v>
      </c>
      <c r="C111" s="79" t="e">
        <f>#REF!</f>
        <v>#REF!</v>
      </c>
    </row>
    <row r="112" spans="2:21" x14ac:dyDescent="0.2">
      <c r="B112" s="53" t="e">
        <f>#REF!</f>
        <v>#REF!</v>
      </c>
      <c r="C112" s="79" t="e">
        <f>#REF!</f>
        <v>#REF!</v>
      </c>
    </row>
    <row r="113" spans="2:3" x14ac:dyDescent="0.2">
      <c r="B113" s="53" t="e">
        <f>#REF!</f>
        <v>#REF!</v>
      </c>
      <c r="C113" s="79" t="e">
        <f>#REF!</f>
        <v>#REF!</v>
      </c>
    </row>
    <row r="114" spans="2:3" x14ac:dyDescent="0.2">
      <c r="B114" s="53" t="e">
        <f>#REF!</f>
        <v>#REF!</v>
      </c>
      <c r="C114" s="79" t="e">
        <f>#REF!</f>
        <v>#REF!</v>
      </c>
    </row>
    <row r="115" spans="2:3" x14ac:dyDescent="0.2">
      <c r="B115" s="53" t="e">
        <f>#REF!</f>
        <v>#REF!</v>
      </c>
      <c r="C115" s="79" t="e">
        <f>#REF!</f>
        <v>#REF!</v>
      </c>
    </row>
    <row r="116" spans="2:3" x14ac:dyDescent="0.2">
      <c r="B116" s="53" t="e">
        <f>#REF!</f>
        <v>#REF!</v>
      </c>
      <c r="C116" s="79" t="e">
        <f>#REF!</f>
        <v>#REF!</v>
      </c>
    </row>
    <row r="117" spans="2:3" x14ac:dyDescent="0.2">
      <c r="B117" s="53" t="e">
        <f>#REF!</f>
        <v>#REF!</v>
      </c>
      <c r="C117" s="79" t="e">
        <f>#REF!</f>
        <v>#REF!</v>
      </c>
    </row>
    <row r="118" spans="2:3" x14ac:dyDescent="0.2">
      <c r="B118" s="53" t="e">
        <f>#REF!</f>
        <v>#REF!</v>
      </c>
      <c r="C118" s="79" t="e">
        <f>#REF!</f>
        <v>#REF!</v>
      </c>
    </row>
    <row r="119" spans="2:3" x14ac:dyDescent="0.2">
      <c r="B119" s="53" t="e">
        <f>#REF!</f>
        <v>#REF!</v>
      </c>
      <c r="C119" s="79" t="e">
        <f>#REF!</f>
        <v>#REF!</v>
      </c>
    </row>
    <row r="120" spans="2:3" x14ac:dyDescent="0.2">
      <c r="B120" s="53" t="e">
        <f>#REF!</f>
        <v>#REF!</v>
      </c>
      <c r="C120" s="79" t="e">
        <f>#REF!</f>
        <v>#REF!</v>
      </c>
    </row>
    <row r="121" spans="2:3" x14ac:dyDescent="0.2">
      <c r="B121" s="53" t="e">
        <f>#REF!</f>
        <v>#REF!</v>
      </c>
      <c r="C121" s="79" t="e">
        <f>#REF!</f>
        <v>#REF!</v>
      </c>
    </row>
    <row r="122" spans="2:3" x14ac:dyDescent="0.2">
      <c r="B122" s="53" t="e">
        <f>#REF!</f>
        <v>#REF!</v>
      </c>
      <c r="C122" s="79" t="e">
        <f>#REF!</f>
        <v>#REF!</v>
      </c>
    </row>
    <row r="123" spans="2:3" x14ac:dyDescent="0.2">
      <c r="B123" s="53" t="e">
        <f>#REF!</f>
        <v>#REF!</v>
      </c>
      <c r="C123" s="79" t="e">
        <f>#REF!</f>
        <v>#REF!</v>
      </c>
    </row>
    <row r="124" spans="2:3" x14ac:dyDescent="0.2">
      <c r="C124" s="79"/>
    </row>
    <row r="125" spans="2:3" x14ac:dyDescent="0.2">
      <c r="C125" s="79"/>
    </row>
    <row r="126" spans="2:3" x14ac:dyDescent="0.2">
      <c r="C126" s="79"/>
    </row>
  </sheetData>
  <sheetProtection algorithmName="SHA-512" hashValue="Zq0opUN6F373VM4fuMyJzjG74RXaNVOzy6aikXdatd0ipCU90xWw6AZxrV3o3a84Y4ASNVSWWzURc6dFaOjadA==" saltValue="qWjzVXfXa6gW5S8t5C7okg==" spinCount="100000" sheet="1" objects="1" scenarios="1"/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5B2DE9-30C6-A644-9119-A8F7CEF816B6}">
          <x14:formula1>
            <xm:f>Data3!$G$8:$G$11</xm:f>
          </x14:formula1>
          <xm:sqref>C41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45901-385A-7842-BD8C-59126CE8C015}">
  <dimension ref="B4:F92"/>
  <sheetViews>
    <sheetView showGridLines="0" zoomScale="25" zoomScaleNormal="67" zoomScaleSheetLayoutView="37" workbookViewId="0">
      <selection sqref="A1:XFD1048576"/>
    </sheetView>
  </sheetViews>
  <sheetFormatPr baseColWidth="10" defaultRowHeight="16" x14ac:dyDescent="0.2"/>
  <cols>
    <col min="1" max="3" width="10.83203125" style="53"/>
    <col min="4" max="4" width="44.33203125" style="53" customWidth="1"/>
    <col min="5" max="5" width="37.6640625" style="53" customWidth="1"/>
    <col min="6" max="16384" width="10.83203125" style="53"/>
  </cols>
  <sheetData>
    <row r="4" spans="2:6" ht="32" x14ac:dyDescent="0.3">
      <c r="B4" s="115" t="s">
        <v>241</v>
      </c>
      <c r="C4" s="115"/>
      <c r="D4" s="115"/>
      <c r="E4" s="115"/>
      <c r="F4" s="115"/>
    </row>
    <row r="5" spans="2:6" ht="32" x14ac:dyDescent="0.3">
      <c r="B5" s="115"/>
      <c r="C5" s="115"/>
      <c r="D5" s="115"/>
      <c r="E5" s="115"/>
      <c r="F5" s="115"/>
    </row>
    <row r="6" spans="2:6" ht="32" x14ac:dyDescent="0.3">
      <c r="B6" s="115" t="str">
        <f>Data9!B19</f>
        <v>Recurring Investment</v>
      </c>
      <c r="C6" s="115"/>
      <c r="D6" s="115"/>
      <c r="E6" s="116">
        <f>Data9!C19</f>
        <v>0</v>
      </c>
      <c r="F6" s="115"/>
    </row>
    <row r="7" spans="2:6" ht="32" x14ac:dyDescent="0.3">
      <c r="B7" s="115" t="str">
        <f>Data9!B20</f>
        <v>Lump Sum Investment</v>
      </c>
      <c r="C7" s="115"/>
      <c r="D7" s="115"/>
      <c r="E7" s="116">
        <f>Data9!C20</f>
        <v>500000</v>
      </c>
      <c r="F7" s="115"/>
    </row>
    <row r="8" spans="2:6" ht="32" x14ac:dyDescent="0.3">
      <c r="B8" s="115" t="str">
        <f>Data9!B21</f>
        <v>Saving Term</v>
      </c>
      <c r="C8" s="115"/>
      <c r="D8" s="115"/>
      <c r="E8" s="115">
        <f>Data9!C21</f>
        <v>1</v>
      </c>
      <c r="F8" s="115"/>
    </row>
    <row r="9" spans="2:6" ht="32" x14ac:dyDescent="0.3">
      <c r="B9" s="115" t="str">
        <f>Data9!B22</f>
        <v>Interest</v>
      </c>
      <c r="C9" s="115"/>
      <c r="D9" s="115"/>
      <c r="E9" s="117">
        <f>Data9!C22</f>
        <v>0.09</v>
      </c>
      <c r="F9" s="115"/>
    </row>
    <row r="10" spans="2:6" ht="32" x14ac:dyDescent="0.3">
      <c r="B10" s="115" t="str">
        <f>Data9!B23</f>
        <v>EAC</v>
      </c>
      <c r="C10" s="115"/>
      <c r="D10" s="115"/>
      <c r="E10" s="118">
        <f>Data9!C23</f>
        <v>0</v>
      </c>
      <c r="F10" s="115"/>
    </row>
    <row r="11" spans="2:6" ht="32" x14ac:dyDescent="0.3">
      <c r="B11" s="115" t="str">
        <f>Data9!B24</f>
        <v>Annual Premium Increase</v>
      </c>
      <c r="C11" s="115"/>
      <c r="D11" s="115"/>
      <c r="E11" s="118">
        <f>Data9!C24</f>
        <v>0</v>
      </c>
      <c r="F11" s="115"/>
    </row>
    <row r="12" spans="2:6" ht="32" x14ac:dyDescent="0.3">
      <c r="B12" s="115" t="str">
        <f>Data9!B25</f>
        <v>Salary Tax Bracket</v>
      </c>
      <c r="C12" s="115"/>
      <c r="D12" s="115"/>
      <c r="E12" s="118">
        <f>Data9!C25</f>
        <v>0.18</v>
      </c>
      <c r="F12" s="115"/>
    </row>
    <row r="13" spans="2:6" ht="32" x14ac:dyDescent="0.3">
      <c r="B13" s="115" t="str">
        <f>Data9!B26</f>
        <v>Bank Return</v>
      </c>
      <c r="C13" s="115"/>
      <c r="D13" s="115"/>
      <c r="E13" s="117">
        <f>Data9!C26</f>
        <v>5.6500000000000002E-2</v>
      </c>
      <c r="F13" s="115"/>
    </row>
    <row r="14" spans="2:6" ht="32" x14ac:dyDescent="0.3">
      <c r="B14" s="115" t="str">
        <f>Data9!B27</f>
        <v>Endowment additional fees</v>
      </c>
      <c r="C14" s="115"/>
      <c r="D14" s="115"/>
      <c r="E14" s="118">
        <f>Data9!C27</f>
        <v>0</v>
      </c>
      <c r="F14" s="115"/>
    </row>
    <row r="20" spans="2:2" ht="32" x14ac:dyDescent="0.3">
      <c r="B20" s="115" t="s">
        <v>243</v>
      </c>
    </row>
    <row r="53" spans="2:2" ht="32" x14ac:dyDescent="0.3">
      <c r="B53" s="115" t="s">
        <v>244</v>
      </c>
    </row>
    <row r="92" spans="2:2" x14ac:dyDescent="0.2">
      <c r="B92" s="53" t="s">
        <v>65</v>
      </c>
    </row>
  </sheetData>
  <sheetProtection algorithmName="SHA-512" hashValue="DSmlgtV3Nf8l7E/01pDxg2CnkPD5r0oTWk1gklknQLEuNoS/hTzAIaajruy9r9LdJOqTsSh23mEmjb9a287R+Q==" saltValue="Aq1BzdUdUg790Ps8OaxCmw==" spinCount="100000" sheet="1" objects="1" scenarios="1"/>
  <pageMargins left="0.7" right="0.7" top="0.75" bottom="0.75" header="0.3" footer="0.3"/>
  <pageSetup paperSize="9" scale="45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3166C-A2CC-8344-AD91-D03BFC629C0E}">
  <dimension ref="D3:AH37"/>
  <sheetViews>
    <sheetView showGridLines="0" zoomScale="69" workbookViewId="0">
      <selection sqref="A1:XFD1048576"/>
    </sheetView>
  </sheetViews>
  <sheetFormatPr baseColWidth="10" defaultRowHeight="16" x14ac:dyDescent="0.2"/>
  <cols>
    <col min="1" max="3" width="10.83203125" style="53"/>
    <col min="4" max="4" width="16" style="53" customWidth="1"/>
    <col min="5" max="5" width="14" style="53" bestFit="1" customWidth="1"/>
    <col min="6" max="6" width="14.5" style="53" customWidth="1"/>
    <col min="7" max="20" width="14" style="53" bestFit="1" customWidth="1"/>
    <col min="21" max="21" width="14.5" style="53" customWidth="1"/>
    <col min="22" max="23" width="14" style="53" bestFit="1" customWidth="1"/>
    <col min="24" max="30" width="14.5" style="53" bestFit="1" customWidth="1"/>
    <col min="31" max="31" width="16" style="53" customWidth="1"/>
    <col min="32" max="34" width="14.5" style="53" bestFit="1" customWidth="1"/>
    <col min="35" max="16384" width="10.83203125" style="53"/>
  </cols>
  <sheetData>
    <row r="3" spans="4:34" x14ac:dyDescent="0.2">
      <c r="D3" s="53">
        <v>30</v>
      </c>
      <c r="E3" s="53">
        <f>D3-1</f>
        <v>29</v>
      </c>
      <c r="F3" s="53">
        <f t="shared" ref="F3:S3" si="0">E3-1</f>
        <v>28</v>
      </c>
      <c r="G3" s="53">
        <f t="shared" si="0"/>
        <v>27</v>
      </c>
      <c r="H3" s="53">
        <f t="shared" si="0"/>
        <v>26</v>
      </c>
      <c r="I3" s="53">
        <f t="shared" si="0"/>
        <v>25</v>
      </c>
      <c r="J3" s="53">
        <f t="shared" si="0"/>
        <v>24</v>
      </c>
      <c r="K3" s="53">
        <f t="shared" si="0"/>
        <v>23</v>
      </c>
      <c r="L3" s="53">
        <f t="shared" si="0"/>
        <v>22</v>
      </c>
      <c r="M3" s="53">
        <f t="shared" si="0"/>
        <v>21</v>
      </c>
      <c r="N3" s="53">
        <f t="shared" si="0"/>
        <v>20</v>
      </c>
      <c r="O3" s="53">
        <f t="shared" si="0"/>
        <v>19</v>
      </c>
      <c r="P3" s="53">
        <f t="shared" si="0"/>
        <v>18</v>
      </c>
      <c r="Q3" s="53">
        <f t="shared" si="0"/>
        <v>17</v>
      </c>
      <c r="R3" s="53">
        <f t="shared" si="0"/>
        <v>16</v>
      </c>
      <c r="S3" s="53">
        <f t="shared" si="0"/>
        <v>15</v>
      </c>
      <c r="T3" s="53">
        <f t="shared" ref="T3:AH3" si="1">S3-1</f>
        <v>14</v>
      </c>
      <c r="U3" s="53">
        <f t="shared" si="1"/>
        <v>13</v>
      </c>
      <c r="V3" s="53">
        <f t="shared" si="1"/>
        <v>12</v>
      </c>
      <c r="W3" s="53">
        <f t="shared" si="1"/>
        <v>11</v>
      </c>
      <c r="X3" s="53">
        <f t="shared" si="1"/>
        <v>10</v>
      </c>
      <c r="Y3" s="53">
        <f t="shared" si="1"/>
        <v>9</v>
      </c>
      <c r="Z3" s="53">
        <f t="shared" si="1"/>
        <v>8</v>
      </c>
      <c r="AA3" s="53">
        <f t="shared" si="1"/>
        <v>7</v>
      </c>
      <c r="AB3" s="53">
        <f t="shared" si="1"/>
        <v>6</v>
      </c>
      <c r="AC3" s="53">
        <f t="shared" si="1"/>
        <v>5</v>
      </c>
      <c r="AD3" s="53">
        <f t="shared" si="1"/>
        <v>4</v>
      </c>
      <c r="AE3" s="53">
        <f t="shared" si="1"/>
        <v>3</v>
      </c>
      <c r="AF3" s="53">
        <f t="shared" si="1"/>
        <v>2</v>
      </c>
      <c r="AG3" s="53">
        <f t="shared" si="1"/>
        <v>1</v>
      </c>
      <c r="AH3" s="53">
        <f t="shared" si="1"/>
        <v>0</v>
      </c>
    </row>
    <row r="4" spans="4:34" x14ac:dyDescent="0.2">
      <c r="D4" s="53">
        <v>2324</v>
      </c>
      <c r="E4" s="53">
        <f>D4/1.05</f>
        <v>2213.333333333333</v>
      </c>
      <c r="F4" s="53">
        <f>E4/1.05</f>
        <v>2107.9365079365075</v>
      </c>
      <c r="G4" s="53">
        <f t="shared" ref="G4:AH4" si="2">F4/1.05</f>
        <v>2007.55857898715</v>
      </c>
      <c r="H4" s="53">
        <f t="shared" si="2"/>
        <v>1911.9605514163331</v>
      </c>
      <c r="I4" s="53">
        <f t="shared" si="2"/>
        <v>1820.9148108726981</v>
      </c>
      <c r="J4" s="53">
        <f t="shared" si="2"/>
        <v>1734.2045817835219</v>
      </c>
      <c r="K4" s="53">
        <f t="shared" si="2"/>
        <v>1651.6234112224017</v>
      </c>
      <c r="L4" s="53">
        <f t="shared" si="2"/>
        <v>1572.9746773546683</v>
      </c>
      <c r="M4" s="53">
        <f t="shared" si="2"/>
        <v>1498.0711212901601</v>
      </c>
      <c r="N4" s="53">
        <f t="shared" si="2"/>
        <v>1426.734401228724</v>
      </c>
      <c r="O4" s="53">
        <f t="shared" si="2"/>
        <v>1358.7946678368799</v>
      </c>
      <c r="P4" s="53">
        <f t="shared" si="2"/>
        <v>1294.0901598446474</v>
      </c>
      <c r="Q4" s="53">
        <f t="shared" si="2"/>
        <v>1232.4668188996641</v>
      </c>
      <c r="R4" s="53">
        <f t="shared" si="2"/>
        <v>1173.7779227615847</v>
      </c>
      <c r="S4" s="53">
        <f t="shared" si="2"/>
        <v>1117.883735963414</v>
      </c>
      <c r="T4" s="53">
        <f t="shared" si="2"/>
        <v>1064.6511771080134</v>
      </c>
      <c r="U4" s="53">
        <f t="shared" si="2"/>
        <v>1013.9535020076318</v>
      </c>
      <c r="V4" s="53">
        <f t="shared" si="2"/>
        <v>965.67000191203022</v>
      </c>
      <c r="W4" s="53">
        <f t="shared" si="2"/>
        <v>919.68571610669539</v>
      </c>
      <c r="X4" s="53">
        <f t="shared" si="2"/>
        <v>875.89115819685276</v>
      </c>
      <c r="Y4" s="53">
        <f t="shared" si="2"/>
        <v>834.18205542557405</v>
      </c>
      <c r="Z4" s="53">
        <f t="shared" si="2"/>
        <v>794.45910040530862</v>
      </c>
      <c r="AA4" s="53">
        <f t="shared" si="2"/>
        <v>756.62771467172252</v>
      </c>
      <c r="AB4" s="53">
        <f t="shared" si="2"/>
        <v>720.5978234968785</v>
      </c>
      <c r="AC4" s="53">
        <f t="shared" si="2"/>
        <v>686.2836414255986</v>
      </c>
      <c r="AD4" s="53">
        <f t="shared" si="2"/>
        <v>653.60346802437959</v>
      </c>
      <c r="AE4" s="53">
        <f t="shared" si="2"/>
        <v>622.47949335655198</v>
      </c>
      <c r="AF4" s="53">
        <f t="shared" si="2"/>
        <v>592.83761272052573</v>
      </c>
      <c r="AG4" s="53">
        <f t="shared" si="2"/>
        <v>564.60725021002452</v>
      </c>
      <c r="AH4" s="53">
        <f t="shared" si="2"/>
        <v>537.72119067621384</v>
      </c>
    </row>
    <row r="5" spans="4:34" x14ac:dyDescent="0.2">
      <c r="D5" s="58">
        <f t="shared" ref="D5:AF5" si="3">FV(6%/12,12,-D4,-E5)</f>
        <v>1054405.0961003441</v>
      </c>
      <c r="E5" s="58">
        <f t="shared" si="3"/>
        <v>966147.39206459082</v>
      </c>
      <c r="F5" s="58">
        <f t="shared" si="3"/>
        <v>884302.8178487214</v>
      </c>
      <c r="G5" s="58">
        <f t="shared" si="3"/>
        <v>808437.57492645411</v>
      </c>
      <c r="H5" s="58">
        <f t="shared" si="3"/>
        <v>738145.98186038865</v>
      </c>
      <c r="I5" s="58">
        <f t="shared" si="3"/>
        <v>673048.70200590463</v>
      </c>
      <c r="J5" s="58">
        <f t="shared" si="3"/>
        <v>612791.08078758884</v>
      </c>
      <c r="K5" s="58">
        <f t="shared" si="3"/>
        <v>557041.58586777595</v>
      </c>
      <c r="L5" s="58">
        <f t="shared" si="3"/>
        <v>505490.34392987401</v>
      </c>
      <c r="M5" s="58">
        <f t="shared" si="3"/>
        <v>457847.76817810477</v>
      </c>
      <c r="N5" s="58">
        <f t="shared" si="3"/>
        <v>413843.27101155167</v>
      </c>
      <c r="O5" s="58">
        <f t="shared" si="3"/>
        <v>373224.05666532478</v>
      </c>
      <c r="P5" s="58">
        <f t="shared" si="3"/>
        <v>335753.98892649659</v>
      </c>
      <c r="Q5" s="58">
        <f t="shared" si="3"/>
        <v>301212.52932842914</v>
      </c>
      <c r="R5" s="58">
        <f t="shared" si="3"/>
        <v>269393.74150532472</v>
      </c>
      <c r="S5" s="58">
        <f t="shared" si="3"/>
        <v>240105.35765035055</v>
      </c>
      <c r="T5" s="58">
        <f t="shared" si="3"/>
        <v>213167.90326650313</v>
      </c>
      <c r="U5" s="58">
        <f t="shared" si="3"/>
        <v>188413.87663043378</v>
      </c>
      <c r="V5" s="58">
        <f t="shared" si="3"/>
        <v>165686.97960662449</v>
      </c>
      <c r="W5" s="58">
        <f t="shared" si="3"/>
        <v>144841.39665341994</v>
      </c>
      <c r="X5" s="58">
        <f t="shared" si="3"/>
        <v>125741.11905426093</v>
      </c>
      <c r="Y5" s="58">
        <f t="shared" si="3"/>
        <v>108259.31158776242</v>
      </c>
      <c r="Z5" s="58">
        <f t="shared" si="3"/>
        <v>92277.71901972327</v>
      </c>
      <c r="AA5" s="58">
        <f t="shared" si="3"/>
        <v>77686.109959395675</v>
      </c>
      <c r="AB5" s="58">
        <f t="shared" si="3"/>
        <v>64381.755771987533</v>
      </c>
      <c r="AC5" s="58">
        <f t="shared" si="3"/>
        <v>52268.942379996464</v>
      </c>
      <c r="AD5" s="58">
        <f t="shared" si="3"/>
        <v>41258.512918117769</v>
      </c>
      <c r="AE5" s="58">
        <f t="shared" si="3"/>
        <v>31267.439330639805</v>
      </c>
      <c r="AF5" s="58">
        <f t="shared" si="3"/>
        <v>22218.421116913963</v>
      </c>
      <c r="AG5" s="58">
        <f>FV(6%/12,12,-AG4,-AH5)</f>
        <v>14039.50954011409</v>
      </c>
      <c r="AH5" s="58">
        <f>FV(7%/12,12,-AH4)</f>
        <v>6663.7557175019883</v>
      </c>
    </row>
    <row r="6" spans="4:34" x14ac:dyDescent="0.2">
      <c r="D6" s="114">
        <v>175000</v>
      </c>
      <c r="E6" s="53">
        <v>1300</v>
      </c>
    </row>
    <row r="7" spans="4:34" x14ac:dyDescent="0.2">
      <c r="D7" s="53">
        <v>124000</v>
      </c>
      <c r="E7" s="53">
        <v>2000</v>
      </c>
    </row>
    <row r="8" spans="4:34" x14ac:dyDescent="0.2">
      <c r="D8" s="53">
        <v>102000</v>
      </c>
      <c r="E8" s="53">
        <v>500</v>
      </c>
    </row>
    <row r="9" spans="4:34" x14ac:dyDescent="0.2">
      <c r="D9" s="53">
        <v>48</v>
      </c>
      <c r="E9" s="53">
        <f>D9+1</f>
        <v>49</v>
      </c>
      <c r="F9" s="53">
        <f>E9+1</f>
        <v>50</v>
      </c>
      <c r="G9" s="53">
        <f t="shared" ref="G9:Q9" si="4">F9+1</f>
        <v>51</v>
      </c>
      <c r="H9" s="53">
        <f t="shared" si="4"/>
        <v>52</v>
      </c>
      <c r="I9" s="53">
        <f t="shared" si="4"/>
        <v>53</v>
      </c>
      <c r="J9" s="53">
        <f t="shared" si="4"/>
        <v>54</v>
      </c>
      <c r="K9" s="53">
        <f t="shared" si="4"/>
        <v>55</v>
      </c>
      <c r="L9" s="53">
        <f t="shared" si="4"/>
        <v>56</v>
      </c>
      <c r="M9" s="53">
        <f t="shared" si="4"/>
        <v>57</v>
      </c>
      <c r="N9" s="53">
        <f t="shared" si="4"/>
        <v>58</v>
      </c>
      <c r="O9" s="53">
        <f t="shared" si="4"/>
        <v>59</v>
      </c>
      <c r="P9" s="53">
        <f t="shared" si="4"/>
        <v>60</v>
      </c>
      <c r="Q9" s="53">
        <f t="shared" si="4"/>
        <v>61</v>
      </c>
      <c r="R9" s="53">
        <f>Q9+1</f>
        <v>62</v>
      </c>
      <c r="S9" s="53">
        <f>R9+1</f>
        <v>63</v>
      </c>
      <c r="T9" s="53">
        <f>S9+1</f>
        <v>64</v>
      </c>
      <c r="U9" s="53">
        <f>T9+1</f>
        <v>65</v>
      </c>
    </row>
    <row r="10" spans="4:34" x14ac:dyDescent="0.2">
      <c r="D10" s="53">
        <f>E8+E7+E6+D4</f>
        <v>6124</v>
      </c>
      <c r="E10" s="53">
        <f>D10*1.05</f>
        <v>6430.2</v>
      </c>
      <c r="F10" s="53">
        <f>E10*1.05</f>
        <v>6751.71</v>
      </c>
      <c r="G10" s="53">
        <f t="shared" ref="G10:Q10" si="5">F10*1.05</f>
        <v>7089.2955000000002</v>
      </c>
      <c r="H10" s="53">
        <f t="shared" si="5"/>
        <v>7443.7602750000005</v>
      </c>
      <c r="I10" s="53">
        <f t="shared" si="5"/>
        <v>7815.9482887500008</v>
      </c>
      <c r="J10" s="53">
        <f t="shared" si="5"/>
        <v>8206.7457031875019</v>
      </c>
      <c r="K10" s="53">
        <f t="shared" si="5"/>
        <v>8617.0829883468778</v>
      </c>
      <c r="L10" s="53">
        <f t="shared" si="5"/>
        <v>9047.9371377642219</v>
      </c>
      <c r="M10" s="53">
        <f t="shared" si="5"/>
        <v>9500.3339946524338</v>
      </c>
      <c r="N10" s="53">
        <f t="shared" si="5"/>
        <v>9975.3506943850552</v>
      </c>
      <c r="O10" s="53">
        <f t="shared" si="5"/>
        <v>10474.118229104308</v>
      </c>
      <c r="P10" s="53">
        <f t="shared" si="5"/>
        <v>10997.824140559524</v>
      </c>
      <c r="Q10" s="53">
        <f t="shared" si="5"/>
        <v>11547.7153475875</v>
      </c>
      <c r="R10" s="53">
        <f>Q10*1.05</f>
        <v>12125.101114966876</v>
      </c>
      <c r="S10" s="53">
        <f>R10*1.05</f>
        <v>12731.35617071522</v>
      </c>
      <c r="T10" s="53">
        <f>S10*1.05</f>
        <v>13367.923979250982</v>
      </c>
      <c r="U10" s="53">
        <f>T10*1.05</f>
        <v>14036.320178213531</v>
      </c>
    </row>
    <row r="11" spans="4:34" x14ac:dyDescent="0.2">
      <c r="D11" s="58">
        <f>D8+D7+D6+D5</f>
        <v>1455405.0961003441</v>
      </c>
      <c r="E11" s="58">
        <f>FV(E12/12,12,-E10,-D11)</f>
        <v>1656258.515582857</v>
      </c>
      <c r="F11" s="58">
        <f>FV(F12/12,12,-F10,-E11)</f>
        <v>1877785.4455380728</v>
      </c>
      <c r="G11" s="58">
        <f t="shared" ref="G11:Q11" si="6">FV(G12/12,12,-G10,-F11)</f>
        <v>2121901.9159249584</v>
      </c>
      <c r="H11" s="58">
        <f t="shared" si="6"/>
        <v>2390692.9931833907</v>
      </c>
      <c r="I11" s="58">
        <f t="shared" si="6"/>
        <v>2686427.3105256697</v>
      </c>
      <c r="J11" s="58">
        <f t="shared" si="6"/>
        <v>3011572.8292524084</v>
      </c>
      <c r="K11" s="58">
        <f t="shared" si="6"/>
        <v>3368813.9345180821</v>
      </c>
      <c r="L11" s="58">
        <f t="shared" si="6"/>
        <v>3761069.9776183181</v>
      </c>
      <c r="M11" s="58">
        <f t="shared" si="6"/>
        <v>4191515.3862385871</v>
      </c>
      <c r="N11" s="58">
        <f t="shared" si="6"/>
        <v>4663601.4742523665</v>
      </c>
      <c r="O11" s="58">
        <f t="shared" si="6"/>
        <v>5181080.0936509706</v>
      </c>
      <c r="P11" s="58">
        <f t="shared" si="6"/>
        <v>5748029.2830975344</v>
      </c>
      <c r="Q11" s="58">
        <f t="shared" si="6"/>
        <v>6368881.080500246</v>
      </c>
      <c r="R11" s="58">
        <f>FV(R12/12,12,-R10,-Q11)</f>
        <v>7048451.6809774637</v>
      </c>
      <c r="S11" s="58">
        <f>FV(S12/12,12,-S10,-R11)</f>
        <v>7791974.1367291752</v>
      </c>
      <c r="T11" s="58">
        <f>FV(T12/12,12,-T10,-S11)</f>
        <v>8605133.8117322885</v>
      </c>
      <c r="U11" s="58">
        <f>FV(U12/12,12,-U10,-T11)</f>
        <v>9494106.8219463006</v>
      </c>
    </row>
    <row r="12" spans="4:34" x14ac:dyDescent="0.2">
      <c r="D12" s="59">
        <v>0.08</v>
      </c>
      <c r="E12" s="59">
        <f>D12</f>
        <v>0.08</v>
      </c>
      <c r="F12" s="59">
        <f>E12</f>
        <v>0.08</v>
      </c>
      <c r="G12" s="59">
        <f t="shared" ref="G12:Q12" si="7">F12</f>
        <v>0.08</v>
      </c>
      <c r="H12" s="59">
        <f t="shared" si="7"/>
        <v>0.08</v>
      </c>
      <c r="I12" s="59">
        <f t="shared" si="7"/>
        <v>0.08</v>
      </c>
      <c r="J12" s="59">
        <f t="shared" si="7"/>
        <v>0.08</v>
      </c>
      <c r="K12" s="59">
        <f t="shared" si="7"/>
        <v>0.08</v>
      </c>
      <c r="L12" s="59">
        <f t="shared" si="7"/>
        <v>0.08</v>
      </c>
      <c r="M12" s="59">
        <f t="shared" si="7"/>
        <v>0.08</v>
      </c>
      <c r="N12" s="59">
        <f t="shared" si="7"/>
        <v>0.08</v>
      </c>
      <c r="O12" s="59">
        <f t="shared" si="7"/>
        <v>0.08</v>
      </c>
      <c r="P12" s="59">
        <f t="shared" si="7"/>
        <v>0.08</v>
      </c>
      <c r="Q12" s="59">
        <f t="shared" si="7"/>
        <v>0.08</v>
      </c>
      <c r="R12" s="59">
        <f>Q12</f>
        <v>0.08</v>
      </c>
      <c r="S12" s="59">
        <f>R12</f>
        <v>0.08</v>
      </c>
      <c r="T12" s="59">
        <f>S12</f>
        <v>0.08</v>
      </c>
      <c r="U12" s="59">
        <f>T12</f>
        <v>0.08</v>
      </c>
    </row>
    <row r="18" spans="4:34" x14ac:dyDescent="0.2">
      <c r="E18" s="53">
        <v>1</v>
      </c>
      <c r="F18" s="53">
        <v>2</v>
      </c>
      <c r="G18" s="53">
        <v>3</v>
      </c>
      <c r="H18" s="53">
        <v>4</v>
      </c>
      <c r="I18" s="53">
        <v>5</v>
      </c>
      <c r="J18" s="53">
        <v>6</v>
      </c>
      <c r="K18" s="53">
        <v>7</v>
      </c>
      <c r="L18" s="53">
        <v>8</v>
      </c>
      <c r="M18" s="53">
        <v>9</v>
      </c>
      <c r="N18" s="53">
        <v>10</v>
      </c>
      <c r="O18" s="53">
        <v>11</v>
      </c>
      <c r="P18" s="53">
        <v>12</v>
      </c>
      <c r="Q18" s="53">
        <v>13</v>
      </c>
      <c r="R18" s="53">
        <v>14</v>
      </c>
      <c r="S18" s="53">
        <v>15</v>
      </c>
      <c r="T18" s="53">
        <v>16</v>
      </c>
      <c r="U18" s="53">
        <v>17</v>
      </c>
      <c r="V18" s="53">
        <v>18</v>
      </c>
      <c r="W18" s="53">
        <v>19</v>
      </c>
      <c r="X18" s="53">
        <v>20</v>
      </c>
      <c r="Y18" s="53">
        <v>21</v>
      </c>
      <c r="Z18" s="53">
        <v>22</v>
      </c>
      <c r="AA18" s="53">
        <v>23</v>
      </c>
      <c r="AB18" s="53">
        <v>24</v>
      </c>
      <c r="AC18" s="53">
        <v>25</v>
      </c>
      <c r="AD18" s="53">
        <v>26</v>
      </c>
      <c r="AE18" s="53">
        <v>27</v>
      </c>
      <c r="AF18" s="53">
        <v>28</v>
      </c>
      <c r="AG18" s="53">
        <v>29</v>
      </c>
      <c r="AH18" s="53">
        <v>30</v>
      </c>
    </row>
    <row r="19" spans="4:34" x14ac:dyDescent="0.2">
      <c r="D19" s="58" t="s">
        <v>61</v>
      </c>
      <c r="E19" s="53">
        <v>10000</v>
      </c>
      <c r="F19" s="53">
        <f>E19*1.05</f>
        <v>10500</v>
      </c>
      <c r="G19" s="53">
        <f t="shared" ref="G19:T19" si="8">F19*1.05</f>
        <v>11025</v>
      </c>
      <c r="H19" s="53">
        <f t="shared" si="8"/>
        <v>11576.25</v>
      </c>
      <c r="I19" s="53">
        <f t="shared" si="8"/>
        <v>12155.0625</v>
      </c>
      <c r="J19" s="53">
        <f t="shared" si="8"/>
        <v>12762.815625000001</v>
      </c>
      <c r="K19" s="53">
        <f t="shared" si="8"/>
        <v>13400.956406250001</v>
      </c>
      <c r="L19" s="53">
        <f t="shared" si="8"/>
        <v>14071.004226562502</v>
      </c>
      <c r="M19" s="53">
        <f t="shared" si="8"/>
        <v>14774.554437890627</v>
      </c>
      <c r="N19" s="53">
        <f t="shared" si="8"/>
        <v>15513.28215978516</v>
      </c>
      <c r="O19" s="53">
        <f t="shared" si="8"/>
        <v>16288.946267774418</v>
      </c>
      <c r="P19" s="53">
        <f t="shared" si="8"/>
        <v>17103.393581163138</v>
      </c>
      <c r="Q19" s="53">
        <f t="shared" si="8"/>
        <v>17958.563260221297</v>
      </c>
      <c r="R19" s="53">
        <f t="shared" si="8"/>
        <v>18856.491423232364</v>
      </c>
      <c r="S19" s="53">
        <f t="shared" si="8"/>
        <v>19799.315994393983</v>
      </c>
      <c r="T19" s="53">
        <f t="shared" si="8"/>
        <v>20789.281794113682</v>
      </c>
      <c r="U19" s="53">
        <f t="shared" ref="U19:AG19" si="9">T19*1.05</f>
        <v>21828.745883819367</v>
      </c>
      <c r="V19" s="53">
        <f t="shared" si="9"/>
        <v>22920.183178010335</v>
      </c>
      <c r="W19" s="53">
        <f t="shared" si="9"/>
        <v>24066.192336910852</v>
      </c>
      <c r="X19" s="53">
        <f t="shared" si="9"/>
        <v>25269.501953756397</v>
      </c>
      <c r="Y19" s="53">
        <f t="shared" si="9"/>
        <v>26532.977051444217</v>
      </c>
      <c r="Z19" s="53">
        <f t="shared" si="9"/>
        <v>27859.62590401643</v>
      </c>
      <c r="AA19" s="53">
        <f t="shared" si="9"/>
        <v>29252.607199217251</v>
      </c>
      <c r="AB19" s="53">
        <f t="shared" si="9"/>
        <v>30715.237559178116</v>
      </c>
      <c r="AC19" s="53">
        <f t="shared" si="9"/>
        <v>32250.999437137023</v>
      </c>
      <c r="AD19" s="53">
        <f t="shared" si="9"/>
        <v>33863.549408993873</v>
      </c>
      <c r="AE19" s="53">
        <f t="shared" si="9"/>
        <v>35556.726879443566</v>
      </c>
      <c r="AF19" s="53">
        <f t="shared" si="9"/>
        <v>37334.563223415746</v>
      </c>
      <c r="AG19" s="53">
        <f t="shared" si="9"/>
        <v>39201.291384586533</v>
      </c>
      <c r="AH19" s="53">
        <f>AG19*1.05</f>
        <v>41161.355953815859</v>
      </c>
    </row>
    <row r="20" spans="4:34" x14ac:dyDescent="0.2">
      <c r="D20" s="53" t="s">
        <v>62</v>
      </c>
      <c r="E20" s="53">
        <v>400000</v>
      </c>
      <c r="F20" s="58">
        <f>E21</f>
        <v>557699.06293426896</v>
      </c>
      <c r="G20" s="58">
        <f t="shared" ref="G20:AH20" si="10">F21</f>
        <v>734712.03332665202</v>
      </c>
      <c r="H20" s="58">
        <f t="shared" si="10"/>
        <v>932953.20412122668</v>
      </c>
      <c r="I20" s="58">
        <f t="shared" si="10"/>
        <v>1154511.3160398402</v>
      </c>
      <c r="J20" s="58">
        <f t="shared" si="10"/>
        <v>1401664.8147820053</v>
      </c>
      <c r="K20" s="58">
        <f t="shared" si="10"/>
        <v>1676898.413470879</v>
      </c>
      <c r="L20" s="58">
        <f t="shared" si="10"/>
        <v>1982921.0706254118</v>
      </c>
      <c r="M20" s="58">
        <f t="shared" si="10"/>
        <v>2322685.5031892024</v>
      </c>
      <c r="N20" s="58">
        <f t="shared" si="10"/>
        <v>2699409.3641697038</v>
      </c>
      <c r="O20" s="58">
        <f t="shared" si="10"/>
        <v>3116598.2253015502</v>
      </c>
      <c r="P20" s="58">
        <f t="shared" si="10"/>
        <v>3578070.5169146359</v>
      </c>
      <c r="Q20" s="58">
        <f t="shared" si="10"/>
        <v>4087984.5899367342</v>
      </c>
      <c r="R20" s="58">
        <f t="shared" si="10"/>
        <v>4650868.0787736587</v>
      </c>
      <c r="S20" s="58">
        <f t="shared" si="10"/>
        <v>5271649.7587759132</v>
      </c>
      <c r="T20" s="58">
        <f t="shared" si="10"/>
        <v>5955694.1082153553</v>
      </c>
      <c r="U20" s="58">
        <f t="shared" si="10"/>
        <v>6708838.8022626899</v>
      </c>
      <c r="V20" s="58">
        <f t="shared" si="10"/>
        <v>7537435.3854891006</v>
      </c>
      <c r="W20" s="58">
        <f t="shared" si="10"/>
        <v>8448393.3900350668</v>
      </c>
      <c r="X20" s="58">
        <f t="shared" si="10"/>
        <v>9449228.1889285464</v>
      </c>
      <c r="Y20" s="58">
        <f t="shared" si="10"/>
        <v>10548112.898236215</v>
      </c>
      <c r="Z20" s="58">
        <f t="shared" si="10"/>
        <v>11753934.667950483</v>
      </c>
      <c r="AA20" s="58">
        <f t="shared" si="10"/>
        <v>13076355.729919331</v>
      </c>
      <c r="AB20" s="58">
        <f t="shared" si="10"/>
        <v>14525879.601897521</v>
      </c>
      <c r="AC20" s="58">
        <f t="shared" si="10"/>
        <v>16113922.880133379</v>
      </c>
      <c r="AD20" s="58">
        <f t="shared" si="10"/>
        <v>17852893.089018449</v>
      </c>
      <c r="AE20" s="58">
        <f t="shared" si="10"/>
        <v>19756273.095448922</v>
      </c>
      <c r="AF20" s="58">
        <f t="shared" si="10"/>
        <v>21838712.637928136</v>
      </c>
      <c r="AG20" s="58">
        <f t="shared" si="10"/>
        <v>24116127.5663497</v>
      </c>
      <c r="AH20" s="58">
        <f t="shared" si="10"/>
        <v>26605807.438134447</v>
      </c>
    </row>
    <row r="21" spans="4:34" x14ac:dyDescent="0.2">
      <c r="D21" s="53" t="s">
        <v>40</v>
      </c>
      <c r="E21" s="58">
        <f>FV(E22/12,12,-E19,-E20)</f>
        <v>557699.06293426896</v>
      </c>
      <c r="F21" s="58">
        <f>FV(F22/12,12,-F19,-F20)</f>
        <v>734712.03332665202</v>
      </c>
      <c r="G21" s="58">
        <f t="shared" ref="G21:T21" si="11">FV(G22/12,12,-G19,-G20)</f>
        <v>932953.20412122668</v>
      </c>
      <c r="H21" s="58">
        <f t="shared" si="11"/>
        <v>1154511.3160398402</v>
      </c>
      <c r="I21" s="58">
        <f t="shared" si="11"/>
        <v>1401664.8147820053</v>
      </c>
      <c r="J21" s="58">
        <f t="shared" si="11"/>
        <v>1676898.413470879</v>
      </c>
      <c r="K21" s="58">
        <f t="shared" si="11"/>
        <v>1982921.0706254118</v>
      </c>
      <c r="L21" s="58">
        <f t="shared" si="11"/>
        <v>2322685.5031892024</v>
      </c>
      <c r="M21" s="58">
        <f t="shared" si="11"/>
        <v>2699409.3641697038</v>
      </c>
      <c r="N21" s="58">
        <f t="shared" si="11"/>
        <v>3116598.2253015502</v>
      </c>
      <c r="O21" s="58">
        <f t="shared" si="11"/>
        <v>3578070.5169146359</v>
      </c>
      <c r="P21" s="58">
        <f t="shared" si="11"/>
        <v>4087984.5899367342</v>
      </c>
      <c r="Q21" s="58">
        <f t="shared" si="11"/>
        <v>4650868.0787736587</v>
      </c>
      <c r="R21" s="58">
        <f t="shared" si="11"/>
        <v>5271649.7587759132</v>
      </c>
      <c r="S21" s="58">
        <f t="shared" si="11"/>
        <v>5955694.1082153553</v>
      </c>
      <c r="T21" s="58">
        <f t="shared" si="11"/>
        <v>6708838.8022626899</v>
      </c>
      <c r="U21" s="58">
        <f t="shared" ref="U21:AH21" si="12">FV(U22/12,12,-U19,-U20)</f>
        <v>7537435.3854891006</v>
      </c>
      <c r="V21" s="58">
        <f t="shared" si="12"/>
        <v>8448393.3900350668</v>
      </c>
      <c r="W21" s="58">
        <f t="shared" si="12"/>
        <v>9449228.1889285464</v>
      </c>
      <c r="X21" s="58">
        <f t="shared" si="12"/>
        <v>10548112.898236215</v>
      </c>
      <c r="Y21" s="58">
        <f t="shared" si="12"/>
        <v>11753934.667950483</v>
      </c>
      <c r="Z21" s="58">
        <f t="shared" si="12"/>
        <v>13076355.729919331</v>
      </c>
      <c r="AA21" s="58">
        <f t="shared" si="12"/>
        <v>14525879.601897521</v>
      </c>
      <c r="AB21" s="58">
        <f t="shared" si="12"/>
        <v>16113922.880133379</v>
      </c>
      <c r="AC21" s="58">
        <f t="shared" si="12"/>
        <v>17852893.089018449</v>
      </c>
      <c r="AD21" s="58">
        <f t="shared" si="12"/>
        <v>19756273.095448922</v>
      </c>
      <c r="AE21" s="58">
        <f t="shared" si="12"/>
        <v>21838712.637928136</v>
      </c>
      <c r="AF21" s="58">
        <f t="shared" si="12"/>
        <v>24116127.5663497</v>
      </c>
      <c r="AG21" s="58">
        <f t="shared" si="12"/>
        <v>26605807.438134447</v>
      </c>
      <c r="AH21" s="58">
        <f t="shared" si="12"/>
        <v>29326532.170269448</v>
      </c>
    </row>
    <row r="22" spans="4:34" x14ac:dyDescent="0.2">
      <c r="D22" s="53" t="s">
        <v>71</v>
      </c>
      <c r="E22" s="59">
        <v>0.08</v>
      </c>
      <c r="F22" s="59">
        <f>E22</f>
        <v>0.08</v>
      </c>
      <c r="G22" s="59">
        <f t="shared" ref="G22:T22" si="13">F22</f>
        <v>0.08</v>
      </c>
      <c r="H22" s="59">
        <f t="shared" si="13"/>
        <v>0.08</v>
      </c>
      <c r="I22" s="59">
        <f t="shared" si="13"/>
        <v>0.08</v>
      </c>
      <c r="J22" s="59">
        <f t="shared" si="13"/>
        <v>0.08</v>
      </c>
      <c r="K22" s="59">
        <f t="shared" si="13"/>
        <v>0.08</v>
      </c>
      <c r="L22" s="59">
        <f t="shared" si="13"/>
        <v>0.08</v>
      </c>
      <c r="M22" s="59">
        <f t="shared" si="13"/>
        <v>0.08</v>
      </c>
      <c r="N22" s="59">
        <f t="shared" si="13"/>
        <v>0.08</v>
      </c>
      <c r="O22" s="59">
        <f t="shared" si="13"/>
        <v>0.08</v>
      </c>
      <c r="P22" s="59">
        <f t="shared" si="13"/>
        <v>0.08</v>
      </c>
      <c r="Q22" s="59">
        <f t="shared" si="13"/>
        <v>0.08</v>
      </c>
      <c r="R22" s="59">
        <f t="shared" si="13"/>
        <v>0.08</v>
      </c>
      <c r="S22" s="59">
        <f t="shared" si="13"/>
        <v>0.08</v>
      </c>
      <c r="T22" s="59">
        <f t="shared" si="13"/>
        <v>0.08</v>
      </c>
      <c r="U22" s="59">
        <f t="shared" ref="U22:AG22" si="14">T22</f>
        <v>0.08</v>
      </c>
      <c r="V22" s="59">
        <f t="shared" si="14"/>
        <v>0.08</v>
      </c>
      <c r="W22" s="59">
        <f t="shared" si="14"/>
        <v>0.08</v>
      </c>
      <c r="X22" s="59">
        <f t="shared" si="14"/>
        <v>0.08</v>
      </c>
      <c r="Y22" s="59">
        <f t="shared" si="14"/>
        <v>0.08</v>
      </c>
      <c r="Z22" s="59">
        <f t="shared" si="14"/>
        <v>0.08</v>
      </c>
      <c r="AA22" s="59">
        <f t="shared" si="14"/>
        <v>0.08</v>
      </c>
      <c r="AB22" s="59">
        <f t="shared" si="14"/>
        <v>0.08</v>
      </c>
      <c r="AC22" s="59">
        <f t="shared" si="14"/>
        <v>0.08</v>
      </c>
      <c r="AD22" s="59">
        <f t="shared" si="14"/>
        <v>0.08</v>
      </c>
      <c r="AE22" s="59">
        <f t="shared" si="14"/>
        <v>0.08</v>
      </c>
      <c r="AF22" s="59">
        <f t="shared" si="14"/>
        <v>0.08</v>
      </c>
      <c r="AG22" s="59">
        <f t="shared" si="14"/>
        <v>0.08</v>
      </c>
      <c r="AH22" s="59">
        <f>AG22</f>
        <v>0.08</v>
      </c>
    </row>
    <row r="28" spans="4:34" s="108" customFormat="1" x14ac:dyDescent="0.2">
      <c r="E28" s="108">
        <v>45</v>
      </c>
      <c r="F28" s="108">
        <f>E28+1</f>
        <v>46</v>
      </c>
      <c r="G28" s="108">
        <f t="shared" ref="G28:Y28" si="15">F28+1</f>
        <v>47</v>
      </c>
      <c r="H28" s="108">
        <f t="shared" si="15"/>
        <v>48</v>
      </c>
      <c r="I28" s="108">
        <f t="shared" si="15"/>
        <v>49</v>
      </c>
      <c r="J28" s="108">
        <f t="shared" si="15"/>
        <v>50</v>
      </c>
      <c r="K28" s="108">
        <f t="shared" si="15"/>
        <v>51</v>
      </c>
      <c r="L28" s="108">
        <f t="shared" si="15"/>
        <v>52</v>
      </c>
      <c r="M28" s="108">
        <f t="shared" si="15"/>
        <v>53</v>
      </c>
      <c r="N28" s="108">
        <f t="shared" si="15"/>
        <v>54</v>
      </c>
      <c r="O28" s="108">
        <f>N28+1</f>
        <v>55</v>
      </c>
      <c r="P28" s="108">
        <f t="shared" si="15"/>
        <v>56</v>
      </c>
      <c r="Q28" s="108">
        <f t="shared" si="15"/>
        <v>57</v>
      </c>
      <c r="R28" s="108">
        <f t="shared" si="15"/>
        <v>58</v>
      </c>
      <c r="S28" s="108">
        <f t="shared" si="15"/>
        <v>59</v>
      </c>
      <c r="T28" s="108">
        <f>S28+1</f>
        <v>60</v>
      </c>
      <c r="U28" s="108">
        <f t="shared" si="15"/>
        <v>61</v>
      </c>
      <c r="V28" s="108">
        <f t="shared" si="15"/>
        <v>62</v>
      </c>
      <c r="W28" s="108">
        <f t="shared" si="15"/>
        <v>63</v>
      </c>
      <c r="X28" s="108">
        <f>W28+1</f>
        <v>64</v>
      </c>
      <c r="Y28" s="108">
        <f t="shared" si="15"/>
        <v>65</v>
      </c>
    </row>
    <row r="29" spans="4:34" x14ac:dyDescent="0.2">
      <c r="D29" s="53" t="s">
        <v>86</v>
      </c>
      <c r="E29" s="102">
        <v>3949</v>
      </c>
      <c r="F29" s="102">
        <f>E29*1.1</f>
        <v>4343.9000000000005</v>
      </c>
      <c r="G29" s="102">
        <f t="shared" ref="G29:L29" si="16">F29*1.1</f>
        <v>4778.2900000000009</v>
      </c>
      <c r="H29" s="102">
        <f t="shared" si="16"/>
        <v>5256.1190000000015</v>
      </c>
      <c r="I29" s="102">
        <f t="shared" si="16"/>
        <v>5781.7309000000023</v>
      </c>
      <c r="J29" s="102">
        <f t="shared" si="16"/>
        <v>6359.9039900000034</v>
      </c>
      <c r="K29" s="102">
        <f t="shared" si="16"/>
        <v>6995.8943890000046</v>
      </c>
      <c r="L29" s="102">
        <f t="shared" si="16"/>
        <v>7695.483827900006</v>
      </c>
      <c r="M29" s="102">
        <f t="shared" ref="M29:Y29" si="17">L29*1.1</f>
        <v>8465.0322106900076</v>
      </c>
      <c r="N29" s="102">
        <f t="shared" si="17"/>
        <v>9311.53543175901</v>
      </c>
      <c r="O29" s="102">
        <f t="shared" si="17"/>
        <v>10242.688974934912</v>
      </c>
      <c r="P29" s="102">
        <f t="shared" si="17"/>
        <v>11266.957872428404</v>
      </c>
      <c r="Q29" s="102">
        <f t="shared" si="17"/>
        <v>12393.653659671245</v>
      </c>
      <c r="R29" s="102">
        <f t="shared" si="17"/>
        <v>13633.01902563837</v>
      </c>
      <c r="S29" s="102">
        <f t="shared" si="17"/>
        <v>14996.320928202209</v>
      </c>
      <c r="T29" s="102">
        <f t="shared" si="17"/>
        <v>16495.953021022433</v>
      </c>
      <c r="U29" s="102">
        <f t="shared" si="17"/>
        <v>18145.548323124676</v>
      </c>
      <c r="V29" s="102">
        <f t="shared" si="17"/>
        <v>19960.103155437144</v>
      </c>
      <c r="W29" s="102">
        <f t="shared" si="17"/>
        <v>21956.113470980861</v>
      </c>
      <c r="X29" s="102">
        <f t="shared" si="17"/>
        <v>24151.72481807895</v>
      </c>
      <c r="Y29" s="102">
        <f t="shared" si="17"/>
        <v>26566.897299886848</v>
      </c>
      <c r="Z29" s="102">
        <f>SUM(E29:Y29)*12</f>
        <v>3032950.4435850605</v>
      </c>
    </row>
    <row r="30" spans="4:34" x14ac:dyDescent="0.2">
      <c r="D30" s="53" t="s">
        <v>87</v>
      </c>
      <c r="E30" s="102">
        <v>8358</v>
      </c>
      <c r="F30" s="102">
        <f>E30</f>
        <v>8358</v>
      </c>
      <c r="G30" s="102">
        <f t="shared" ref="G30:L30" si="18">F30</f>
        <v>8358</v>
      </c>
      <c r="H30" s="102">
        <f t="shared" si="18"/>
        <v>8358</v>
      </c>
      <c r="I30" s="102">
        <f t="shared" si="18"/>
        <v>8358</v>
      </c>
      <c r="J30" s="102">
        <f t="shared" si="18"/>
        <v>8358</v>
      </c>
      <c r="K30" s="102">
        <f t="shared" si="18"/>
        <v>8358</v>
      </c>
      <c r="L30" s="102">
        <f t="shared" si="18"/>
        <v>8358</v>
      </c>
      <c r="M30" s="102">
        <f t="shared" ref="M30:Y30" si="19">L30</f>
        <v>8358</v>
      </c>
      <c r="N30" s="102">
        <f t="shared" si="19"/>
        <v>8358</v>
      </c>
      <c r="O30" s="102">
        <f t="shared" si="19"/>
        <v>8358</v>
      </c>
      <c r="P30" s="102">
        <f t="shared" si="19"/>
        <v>8358</v>
      </c>
      <c r="Q30" s="102">
        <f t="shared" si="19"/>
        <v>8358</v>
      </c>
      <c r="R30" s="102">
        <f t="shared" si="19"/>
        <v>8358</v>
      </c>
      <c r="S30" s="102">
        <f t="shared" si="19"/>
        <v>8358</v>
      </c>
      <c r="T30" s="102">
        <f t="shared" si="19"/>
        <v>8358</v>
      </c>
      <c r="U30" s="102">
        <f t="shared" si="19"/>
        <v>8358</v>
      </c>
      <c r="V30" s="102">
        <f t="shared" si="19"/>
        <v>8358</v>
      </c>
      <c r="W30" s="102">
        <f t="shared" si="19"/>
        <v>8358</v>
      </c>
      <c r="X30" s="102">
        <f t="shared" si="19"/>
        <v>8358</v>
      </c>
      <c r="Y30" s="102">
        <f t="shared" si="19"/>
        <v>8358</v>
      </c>
      <c r="Z30" s="102">
        <f>SUM(E30:Y30)*12</f>
        <v>2106216</v>
      </c>
    </row>
    <row r="31" spans="4:34" x14ac:dyDescent="0.2">
      <c r="D31" s="53" t="s">
        <v>246</v>
      </c>
      <c r="E31" s="102">
        <v>6823</v>
      </c>
      <c r="F31" s="102">
        <f>E31</f>
        <v>6823</v>
      </c>
      <c r="G31" s="102">
        <f t="shared" ref="G31:L31" si="20">F31</f>
        <v>6823</v>
      </c>
      <c r="H31" s="102">
        <f t="shared" si="20"/>
        <v>6823</v>
      </c>
      <c r="I31" s="102">
        <f t="shared" si="20"/>
        <v>6823</v>
      </c>
      <c r="J31" s="102">
        <f t="shared" si="20"/>
        <v>6823</v>
      </c>
      <c r="K31" s="102">
        <f t="shared" si="20"/>
        <v>6823</v>
      </c>
      <c r="L31" s="102">
        <f t="shared" si="20"/>
        <v>6823</v>
      </c>
      <c r="M31" s="102">
        <f t="shared" ref="M31:Y31" si="21">L31</f>
        <v>6823</v>
      </c>
      <c r="N31" s="102">
        <f t="shared" si="21"/>
        <v>6823</v>
      </c>
      <c r="O31" s="102">
        <f t="shared" si="21"/>
        <v>6823</v>
      </c>
      <c r="P31" s="102">
        <f t="shared" si="21"/>
        <v>6823</v>
      </c>
      <c r="Q31" s="102">
        <f t="shared" si="21"/>
        <v>6823</v>
      </c>
      <c r="R31" s="102">
        <f t="shared" si="21"/>
        <v>6823</v>
      </c>
      <c r="S31" s="102">
        <f t="shared" si="21"/>
        <v>6823</v>
      </c>
      <c r="T31" s="102">
        <f t="shared" si="21"/>
        <v>6823</v>
      </c>
      <c r="U31" s="102">
        <f t="shared" si="21"/>
        <v>6823</v>
      </c>
      <c r="V31" s="102">
        <f t="shared" si="21"/>
        <v>6823</v>
      </c>
      <c r="W31" s="102">
        <f t="shared" si="21"/>
        <v>6823</v>
      </c>
      <c r="X31" s="102">
        <f t="shared" si="21"/>
        <v>6823</v>
      </c>
      <c r="Y31" s="102">
        <f t="shared" si="21"/>
        <v>6823</v>
      </c>
      <c r="Z31" s="102">
        <f>SUM(E31:Y31)*12</f>
        <v>1719396</v>
      </c>
    </row>
    <row r="32" spans="4:34" x14ac:dyDescent="0.2">
      <c r="D32" s="53" t="s">
        <v>247</v>
      </c>
      <c r="E32" s="102">
        <v>5351</v>
      </c>
      <c r="F32" s="102">
        <f>E32*1.031</f>
        <v>5516.8809999999994</v>
      </c>
      <c r="G32" s="102">
        <f>F32*1.032</f>
        <v>5693.4211919999998</v>
      </c>
      <c r="H32" s="102">
        <f>G32*1.033</f>
        <v>5881.3040913359991</v>
      </c>
      <c r="I32" s="102">
        <f>H32*1.034</f>
        <v>6081.2684304414233</v>
      </c>
      <c r="J32" s="102">
        <f>I32*1.035</f>
        <v>6294.1128255068725</v>
      </c>
      <c r="K32" s="102">
        <f>J32*1.036</f>
        <v>6520.7008872251199</v>
      </c>
      <c r="L32" s="102">
        <f>K32*1.037</f>
        <v>6761.9668200524493</v>
      </c>
      <c r="M32" s="102">
        <f t="shared" ref="M32:Y32" si="22">L32*1.037</f>
        <v>7012.1595923943896</v>
      </c>
      <c r="N32" s="102">
        <f t="shared" si="22"/>
        <v>7271.6094973129811</v>
      </c>
      <c r="O32" s="102">
        <f t="shared" si="22"/>
        <v>7540.6590487135609</v>
      </c>
      <c r="P32" s="102">
        <f t="shared" si="22"/>
        <v>7819.6634335159624</v>
      </c>
      <c r="Q32" s="102">
        <f t="shared" si="22"/>
        <v>8108.9909805560528</v>
      </c>
      <c r="R32" s="102">
        <f t="shared" si="22"/>
        <v>8409.0236468366256</v>
      </c>
      <c r="S32" s="102">
        <f t="shared" si="22"/>
        <v>8720.1575217695809</v>
      </c>
      <c r="T32" s="102">
        <f t="shared" si="22"/>
        <v>9042.8033500750553</v>
      </c>
      <c r="U32" s="102">
        <f t="shared" si="22"/>
        <v>9377.3870740278307</v>
      </c>
      <c r="V32" s="102">
        <f t="shared" si="22"/>
        <v>9724.3503957668599</v>
      </c>
      <c r="W32" s="102">
        <f t="shared" si="22"/>
        <v>10084.151360410233</v>
      </c>
      <c r="X32" s="102">
        <f t="shared" si="22"/>
        <v>10457.264960745411</v>
      </c>
      <c r="Y32" s="102">
        <f t="shared" si="22"/>
        <v>10844.183764292991</v>
      </c>
      <c r="Z32" s="102">
        <f>SUM(E32:Y32)*12</f>
        <v>1950156.718475753</v>
      </c>
    </row>
    <row r="33" spans="4:25" s="108" customFormat="1" x14ac:dyDescent="0.2">
      <c r="E33" s="108">
        <f>E28</f>
        <v>45</v>
      </c>
      <c r="F33" s="108">
        <f>F28</f>
        <v>46</v>
      </c>
      <c r="G33" s="108">
        <f t="shared" ref="G33:Y33" si="23">G28</f>
        <v>47</v>
      </c>
      <c r="H33" s="108">
        <f t="shared" si="23"/>
        <v>48</v>
      </c>
      <c r="I33" s="108">
        <f t="shared" si="23"/>
        <v>49</v>
      </c>
      <c r="J33" s="108">
        <f t="shared" si="23"/>
        <v>50</v>
      </c>
      <c r="K33" s="108">
        <f t="shared" si="23"/>
        <v>51</v>
      </c>
      <c r="L33" s="108">
        <f t="shared" si="23"/>
        <v>52</v>
      </c>
      <c r="M33" s="108">
        <f t="shared" si="23"/>
        <v>53</v>
      </c>
      <c r="N33" s="108">
        <f t="shared" si="23"/>
        <v>54</v>
      </c>
      <c r="O33" s="108">
        <f t="shared" si="23"/>
        <v>55</v>
      </c>
      <c r="P33" s="108">
        <f t="shared" si="23"/>
        <v>56</v>
      </c>
      <c r="Q33" s="108">
        <f t="shared" si="23"/>
        <v>57</v>
      </c>
      <c r="R33" s="108">
        <f t="shared" si="23"/>
        <v>58</v>
      </c>
      <c r="S33" s="108">
        <f t="shared" si="23"/>
        <v>59</v>
      </c>
      <c r="T33" s="108">
        <f t="shared" si="23"/>
        <v>60</v>
      </c>
      <c r="U33" s="108">
        <f t="shared" si="23"/>
        <v>61</v>
      </c>
      <c r="V33" s="108">
        <f t="shared" si="23"/>
        <v>62</v>
      </c>
      <c r="W33" s="108">
        <f t="shared" si="23"/>
        <v>63</v>
      </c>
      <c r="X33" s="108">
        <f t="shared" si="23"/>
        <v>64</v>
      </c>
      <c r="Y33" s="108">
        <f t="shared" si="23"/>
        <v>65</v>
      </c>
    </row>
    <row r="34" spans="4:25" x14ac:dyDescent="0.2">
      <c r="D34" s="53" t="s">
        <v>86</v>
      </c>
      <c r="E34" s="102">
        <v>10000000</v>
      </c>
      <c r="F34" s="102">
        <f>E34*1.03</f>
        <v>10300000</v>
      </c>
      <c r="G34" s="102">
        <f t="shared" ref="G34:Y34" si="24">F34*1.03</f>
        <v>10609000</v>
      </c>
      <c r="H34" s="102">
        <f t="shared" si="24"/>
        <v>10927270</v>
      </c>
      <c r="I34" s="102">
        <f t="shared" si="24"/>
        <v>11255088.1</v>
      </c>
      <c r="J34" s="102">
        <f t="shared" si="24"/>
        <v>11592740.743000001</v>
      </c>
      <c r="K34" s="102">
        <f t="shared" si="24"/>
        <v>11940522.965290001</v>
      </c>
      <c r="L34" s="102">
        <f t="shared" si="24"/>
        <v>12298738.654248701</v>
      </c>
      <c r="M34" s="102">
        <f t="shared" si="24"/>
        <v>12667700.813876163</v>
      </c>
      <c r="N34" s="102">
        <f t="shared" si="24"/>
        <v>13047731.838292448</v>
      </c>
      <c r="O34" s="102">
        <f t="shared" si="24"/>
        <v>13439163.793441221</v>
      </c>
      <c r="P34" s="102">
        <f t="shared" si="24"/>
        <v>13842338.707244458</v>
      </c>
      <c r="Q34" s="102">
        <f t="shared" si="24"/>
        <v>14257608.868461791</v>
      </c>
      <c r="R34" s="102">
        <f t="shared" si="24"/>
        <v>14685337.134515645</v>
      </c>
      <c r="S34" s="102">
        <f t="shared" si="24"/>
        <v>15125897.248551115</v>
      </c>
      <c r="T34" s="102">
        <f t="shared" si="24"/>
        <v>15579674.166007649</v>
      </c>
      <c r="U34" s="102">
        <f t="shared" si="24"/>
        <v>16047064.390987879</v>
      </c>
      <c r="V34" s="102">
        <f t="shared" si="24"/>
        <v>16528476.322717516</v>
      </c>
      <c r="W34" s="102">
        <f t="shared" si="24"/>
        <v>17024330.612399042</v>
      </c>
      <c r="X34" s="102">
        <f t="shared" si="24"/>
        <v>17535060.530771013</v>
      </c>
      <c r="Y34" s="102">
        <f t="shared" si="24"/>
        <v>18061112.346694145</v>
      </c>
    </row>
    <row r="35" spans="4:25" x14ac:dyDescent="0.2">
      <c r="D35" s="53" t="s">
        <v>87</v>
      </c>
      <c r="E35" s="102">
        <v>10000000</v>
      </c>
      <c r="F35" s="102">
        <f>E35*1.02</f>
        <v>10200000</v>
      </c>
      <c r="G35" s="102">
        <f t="shared" ref="G35:Y35" si="25">F35*1.02</f>
        <v>10404000</v>
      </c>
      <c r="H35" s="102">
        <f t="shared" si="25"/>
        <v>10612080</v>
      </c>
      <c r="I35" s="102">
        <f t="shared" si="25"/>
        <v>10824321.6</v>
      </c>
      <c r="J35" s="102">
        <f t="shared" si="25"/>
        <v>11040808.032</v>
      </c>
      <c r="K35" s="102">
        <f t="shared" si="25"/>
        <v>11261624.192639999</v>
      </c>
      <c r="L35" s="102">
        <f t="shared" si="25"/>
        <v>11486856.676492799</v>
      </c>
      <c r="M35" s="102">
        <f t="shared" si="25"/>
        <v>11716593.810022656</v>
      </c>
      <c r="N35" s="102">
        <f t="shared" si="25"/>
        <v>11950925.686223108</v>
      </c>
      <c r="O35" s="102">
        <f t="shared" si="25"/>
        <v>12189944.199947571</v>
      </c>
      <c r="P35" s="102">
        <f t="shared" si="25"/>
        <v>12433743.083946522</v>
      </c>
      <c r="Q35" s="102">
        <f t="shared" si="25"/>
        <v>12682417.945625452</v>
      </c>
      <c r="R35" s="102">
        <f t="shared" si="25"/>
        <v>12936066.304537961</v>
      </c>
      <c r="S35" s="102">
        <f t="shared" si="25"/>
        <v>13194787.63062872</v>
      </c>
      <c r="T35" s="102">
        <f t="shared" si="25"/>
        <v>13458683.383241294</v>
      </c>
      <c r="U35" s="102">
        <f t="shared" si="25"/>
        <v>13727857.05090612</v>
      </c>
      <c r="V35" s="102">
        <f t="shared" si="25"/>
        <v>14002414.191924242</v>
      </c>
      <c r="W35" s="102">
        <f t="shared" si="25"/>
        <v>14282462.475762727</v>
      </c>
      <c r="X35" s="102">
        <f t="shared" si="25"/>
        <v>14568111.725277981</v>
      </c>
      <c r="Y35" s="102">
        <f t="shared" si="25"/>
        <v>14859473.959783541</v>
      </c>
    </row>
    <row r="36" spans="4:25" x14ac:dyDescent="0.2">
      <c r="D36" s="53" t="s">
        <v>246</v>
      </c>
      <c r="E36" s="102">
        <v>10000000</v>
      </c>
      <c r="F36" s="102">
        <f>E36</f>
        <v>10000000</v>
      </c>
      <c r="G36" s="102">
        <f t="shared" ref="G36:Y36" si="26">F36</f>
        <v>10000000</v>
      </c>
      <c r="H36" s="102">
        <f t="shared" si="26"/>
        <v>10000000</v>
      </c>
      <c r="I36" s="102">
        <f t="shared" si="26"/>
        <v>10000000</v>
      </c>
      <c r="J36" s="102">
        <f t="shared" si="26"/>
        <v>10000000</v>
      </c>
      <c r="K36" s="102">
        <f t="shared" si="26"/>
        <v>10000000</v>
      </c>
      <c r="L36" s="102">
        <f t="shared" si="26"/>
        <v>10000000</v>
      </c>
      <c r="M36" s="102">
        <f t="shared" si="26"/>
        <v>10000000</v>
      </c>
      <c r="N36" s="102">
        <f t="shared" si="26"/>
        <v>10000000</v>
      </c>
      <c r="O36" s="102">
        <f t="shared" si="26"/>
        <v>10000000</v>
      </c>
      <c r="P36" s="102">
        <f t="shared" si="26"/>
        <v>10000000</v>
      </c>
      <c r="Q36" s="102">
        <f t="shared" si="26"/>
        <v>10000000</v>
      </c>
      <c r="R36" s="102">
        <f t="shared" si="26"/>
        <v>10000000</v>
      </c>
      <c r="S36" s="102">
        <f t="shared" si="26"/>
        <v>10000000</v>
      </c>
      <c r="T36" s="102">
        <f t="shared" si="26"/>
        <v>10000000</v>
      </c>
      <c r="U36" s="102">
        <f t="shared" si="26"/>
        <v>10000000</v>
      </c>
      <c r="V36" s="102">
        <f t="shared" si="26"/>
        <v>10000000</v>
      </c>
      <c r="W36" s="102">
        <f t="shared" si="26"/>
        <v>10000000</v>
      </c>
      <c r="X36" s="102">
        <f t="shared" si="26"/>
        <v>10000000</v>
      </c>
      <c r="Y36" s="102">
        <f t="shared" si="26"/>
        <v>10000000</v>
      </c>
    </row>
    <row r="37" spans="4:25" x14ac:dyDescent="0.2">
      <c r="D37" s="53" t="s">
        <v>247</v>
      </c>
      <c r="E37" s="102">
        <v>10000000</v>
      </c>
      <c r="F37" s="102">
        <f>E37</f>
        <v>10000000</v>
      </c>
      <c r="G37" s="102">
        <f t="shared" ref="G37:Y37" si="27">F37</f>
        <v>10000000</v>
      </c>
      <c r="H37" s="102">
        <f t="shared" si="27"/>
        <v>10000000</v>
      </c>
      <c r="I37" s="102">
        <f t="shared" si="27"/>
        <v>10000000</v>
      </c>
      <c r="J37" s="102">
        <f t="shared" si="27"/>
        <v>10000000</v>
      </c>
      <c r="K37" s="102">
        <f t="shared" si="27"/>
        <v>10000000</v>
      </c>
      <c r="L37" s="102">
        <f t="shared" si="27"/>
        <v>10000000</v>
      </c>
      <c r="M37" s="102">
        <f t="shared" si="27"/>
        <v>10000000</v>
      </c>
      <c r="N37" s="102">
        <f t="shared" si="27"/>
        <v>10000000</v>
      </c>
      <c r="O37" s="102">
        <f t="shared" si="27"/>
        <v>10000000</v>
      </c>
      <c r="P37" s="102">
        <f t="shared" si="27"/>
        <v>10000000</v>
      </c>
      <c r="Q37" s="102">
        <f t="shared" si="27"/>
        <v>10000000</v>
      </c>
      <c r="R37" s="102">
        <f t="shared" si="27"/>
        <v>10000000</v>
      </c>
      <c r="S37" s="102">
        <f t="shared" si="27"/>
        <v>10000000</v>
      </c>
      <c r="T37" s="102">
        <f t="shared" si="27"/>
        <v>10000000</v>
      </c>
      <c r="U37" s="102">
        <f t="shared" si="27"/>
        <v>10000000</v>
      </c>
      <c r="V37" s="102">
        <f t="shared" si="27"/>
        <v>10000000</v>
      </c>
      <c r="W37" s="102">
        <f t="shared" si="27"/>
        <v>10000000</v>
      </c>
      <c r="X37" s="102">
        <f t="shared" si="27"/>
        <v>10000000</v>
      </c>
      <c r="Y37" s="102">
        <f t="shared" si="27"/>
        <v>10000000</v>
      </c>
    </row>
  </sheetData>
  <sheetProtection algorithmName="SHA-512" hashValue="K5lh0vpJ9u7miAF5/lYZp/c2bzGt5GgqDYU/1bnSC4YaieQNghoJCjZvEF7LZOWmC0PmRuaeDBUV073Wl5NNCg==" saltValue="sD+Y3eVACLaDJHPhq9Ga4A==" spinCount="100000" sheet="1" objects="1" scenarios="1"/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21A5-BA8C-384B-9B32-4FA5397E2BF1}">
  <dimension ref="A3:H53"/>
  <sheetViews>
    <sheetView zoomScale="75" workbookViewId="0">
      <selection sqref="A1:XFD1048576"/>
    </sheetView>
  </sheetViews>
  <sheetFormatPr baseColWidth="10" defaultRowHeight="16" x14ac:dyDescent="0.2"/>
  <cols>
    <col min="1" max="2" width="10.83203125" style="53"/>
    <col min="3" max="3" width="13.1640625" style="98" bestFit="1" customWidth="1"/>
    <col min="4" max="4" width="10.83203125" style="53"/>
    <col min="5" max="5" width="11.1640625" style="102" customWidth="1"/>
    <col min="6" max="6" width="12.1640625" style="53" customWidth="1"/>
    <col min="7" max="7" width="14.1640625" style="53" bestFit="1" customWidth="1"/>
    <col min="8" max="16384" width="10.83203125" style="53"/>
  </cols>
  <sheetData>
    <row r="3" spans="1:6" x14ac:dyDescent="0.2">
      <c r="A3" s="53">
        <v>33</v>
      </c>
      <c r="B3" s="102">
        <f>744</f>
        <v>744</v>
      </c>
      <c r="C3" s="98">
        <v>0.06</v>
      </c>
      <c r="D3" s="79">
        <f>B3*12</f>
        <v>8928</v>
      </c>
      <c r="E3" s="102">
        <v>81</v>
      </c>
      <c r="F3" s="102">
        <f>E3*12</f>
        <v>972</v>
      </c>
    </row>
    <row r="4" spans="1:6" x14ac:dyDescent="0.2">
      <c r="A4" s="53">
        <v>34</v>
      </c>
      <c r="B4" s="97">
        <f>B3*(1+C4)</f>
        <v>788.64</v>
      </c>
      <c r="C4" s="98">
        <v>0.06</v>
      </c>
      <c r="D4" s="79">
        <f t="shared" ref="D4:D34" si="0">B4*12</f>
        <v>9463.68</v>
      </c>
      <c r="E4" s="102">
        <f>E3*(1+C4)</f>
        <v>85.86</v>
      </c>
      <c r="F4" s="102">
        <f t="shared" ref="F4:F35" si="1">E4*12</f>
        <v>1030.32</v>
      </c>
    </row>
    <row r="5" spans="1:6" x14ac:dyDescent="0.2">
      <c r="A5" s="53">
        <v>35</v>
      </c>
      <c r="B5" s="97">
        <f t="shared" ref="B5:B34" si="2">B4*(1+C5)</f>
        <v>835.95839999999998</v>
      </c>
      <c r="C5" s="98">
        <v>0.06</v>
      </c>
      <c r="D5" s="79">
        <f t="shared" si="0"/>
        <v>10031.5008</v>
      </c>
      <c r="E5" s="102">
        <f t="shared" ref="E5:E35" si="3">E4*(1+C5)</f>
        <v>91.011600000000001</v>
      </c>
      <c r="F5" s="102">
        <f t="shared" si="1"/>
        <v>1092.1392000000001</v>
      </c>
    </row>
    <row r="6" spans="1:6" x14ac:dyDescent="0.2">
      <c r="A6" s="53">
        <v>36</v>
      </c>
      <c r="B6" s="97">
        <f t="shared" si="2"/>
        <v>886.115904</v>
      </c>
      <c r="C6" s="98">
        <v>0.06</v>
      </c>
      <c r="D6" s="79">
        <f t="shared" si="0"/>
        <v>10633.390847999999</v>
      </c>
      <c r="E6" s="102">
        <f t="shared" si="3"/>
        <v>96.472296</v>
      </c>
      <c r="F6" s="102">
        <f t="shared" si="1"/>
        <v>1157.6675519999999</v>
      </c>
    </row>
    <row r="7" spans="1:6" x14ac:dyDescent="0.2">
      <c r="A7" s="53">
        <v>37</v>
      </c>
      <c r="B7" s="97">
        <f t="shared" si="2"/>
        <v>939.28285824</v>
      </c>
      <c r="C7" s="98">
        <v>0.06</v>
      </c>
      <c r="D7" s="79">
        <f t="shared" si="0"/>
        <v>11271.394298880001</v>
      </c>
      <c r="E7" s="102">
        <f t="shared" si="3"/>
        <v>102.26063376</v>
      </c>
      <c r="F7" s="102">
        <f t="shared" si="1"/>
        <v>1227.12760512</v>
      </c>
    </row>
    <row r="8" spans="1:6" x14ac:dyDescent="0.2">
      <c r="A8" s="53">
        <v>38</v>
      </c>
      <c r="B8" s="97">
        <f t="shared" si="2"/>
        <v>995.6398297344</v>
      </c>
      <c r="C8" s="98">
        <v>0.06</v>
      </c>
      <c r="D8" s="79">
        <f t="shared" si="0"/>
        <v>11947.6779568128</v>
      </c>
      <c r="E8" s="102">
        <f t="shared" si="3"/>
        <v>108.39627178560001</v>
      </c>
      <c r="F8" s="102">
        <f t="shared" si="1"/>
        <v>1300.7552614272001</v>
      </c>
    </row>
    <row r="9" spans="1:6" x14ac:dyDescent="0.2">
      <c r="A9" s="53">
        <v>39</v>
      </c>
      <c r="B9" s="97">
        <f t="shared" si="2"/>
        <v>1055.378219518464</v>
      </c>
      <c r="C9" s="98">
        <v>0.06</v>
      </c>
      <c r="D9" s="79">
        <f t="shared" si="0"/>
        <v>12664.538634221568</v>
      </c>
      <c r="E9" s="102">
        <f t="shared" si="3"/>
        <v>114.90004809273601</v>
      </c>
      <c r="F9" s="102">
        <f t="shared" si="1"/>
        <v>1378.8005771128321</v>
      </c>
    </row>
    <row r="10" spans="1:6" x14ac:dyDescent="0.2">
      <c r="A10" s="53">
        <v>40</v>
      </c>
      <c r="B10" s="97">
        <f t="shared" si="2"/>
        <v>1118.7009126895719</v>
      </c>
      <c r="C10" s="98">
        <v>0.06</v>
      </c>
      <c r="D10" s="79">
        <f t="shared" si="0"/>
        <v>13424.410952274862</v>
      </c>
      <c r="E10" s="102">
        <f t="shared" si="3"/>
        <v>121.79405097830018</v>
      </c>
      <c r="F10" s="102">
        <f t="shared" si="1"/>
        <v>1461.5286117396022</v>
      </c>
    </row>
    <row r="11" spans="1:6" x14ac:dyDescent="0.2">
      <c r="A11" s="53">
        <v>41</v>
      </c>
      <c r="B11" s="97">
        <f t="shared" si="2"/>
        <v>1197.0099765778421</v>
      </c>
      <c r="C11" s="98">
        <v>7.0000000000000007E-2</v>
      </c>
      <c r="D11" s="79">
        <f t="shared" si="0"/>
        <v>14364.119718934104</v>
      </c>
      <c r="E11" s="102">
        <f t="shared" si="3"/>
        <v>130.3196345467812</v>
      </c>
      <c r="F11" s="102">
        <f t="shared" si="1"/>
        <v>1563.8356145613743</v>
      </c>
    </row>
    <row r="12" spans="1:6" x14ac:dyDescent="0.2">
      <c r="A12" s="53">
        <v>42</v>
      </c>
      <c r="B12" s="97">
        <f t="shared" si="2"/>
        <v>1280.800674938291</v>
      </c>
      <c r="C12" s="98">
        <v>7.0000000000000007E-2</v>
      </c>
      <c r="D12" s="79">
        <f t="shared" si="0"/>
        <v>15369.608099259491</v>
      </c>
      <c r="E12" s="102">
        <f t="shared" si="3"/>
        <v>139.44200896505589</v>
      </c>
      <c r="F12" s="102">
        <f t="shared" si="1"/>
        <v>1673.3041075806707</v>
      </c>
    </row>
    <row r="13" spans="1:6" x14ac:dyDescent="0.2">
      <c r="A13" s="53">
        <v>43</v>
      </c>
      <c r="B13" s="97">
        <f t="shared" si="2"/>
        <v>1370.4567221839714</v>
      </c>
      <c r="C13" s="98">
        <v>7.0000000000000007E-2</v>
      </c>
      <c r="D13" s="79">
        <f t="shared" si="0"/>
        <v>16445.480666207655</v>
      </c>
      <c r="E13" s="102">
        <f t="shared" si="3"/>
        <v>149.2029495926098</v>
      </c>
      <c r="F13" s="102">
        <f t="shared" si="1"/>
        <v>1790.4353951113176</v>
      </c>
    </row>
    <row r="14" spans="1:6" x14ac:dyDescent="0.2">
      <c r="A14" s="53">
        <v>44</v>
      </c>
      <c r="B14" s="97">
        <f t="shared" si="2"/>
        <v>1466.3886927368494</v>
      </c>
      <c r="C14" s="98">
        <v>7.0000000000000007E-2</v>
      </c>
      <c r="D14" s="79">
        <f t="shared" si="0"/>
        <v>17596.664312842193</v>
      </c>
      <c r="E14" s="102">
        <f t="shared" si="3"/>
        <v>159.64715606409248</v>
      </c>
      <c r="F14" s="102">
        <f t="shared" si="1"/>
        <v>1915.7658727691098</v>
      </c>
    </row>
    <row r="15" spans="1:6" x14ac:dyDescent="0.2">
      <c r="A15" s="53">
        <v>45</v>
      </c>
      <c r="B15" s="97">
        <f t="shared" si="2"/>
        <v>1569.0359012284289</v>
      </c>
      <c r="C15" s="98">
        <v>7.0000000000000007E-2</v>
      </c>
      <c r="D15" s="79">
        <f t="shared" si="0"/>
        <v>18828.430814741147</v>
      </c>
      <c r="E15" s="102">
        <f t="shared" si="3"/>
        <v>170.82245698857898</v>
      </c>
      <c r="F15" s="102">
        <f t="shared" si="1"/>
        <v>2049.8694838629476</v>
      </c>
    </row>
    <row r="16" spans="1:6" x14ac:dyDescent="0.2">
      <c r="A16" s="53">
        <v>46</v>
      </c>
      <c r="B16" s="97">
        <f t="shared" si="2"/>
        <v>1678.8684143144189</v>
      </c>
      <c r="C16" s="98">
        <v>7.0000000000000007E-2</v>
      </c>
      <c r="D16" s="79">
        <f t="shared" si="0"/>
        <v>20146.420971773026</v>
      </c>
      <c r="E16" s="102">
        <f t="shared" si="3"/>
        <v>182.78002897777952</v>
      </c>
      <c r="F16" s="102">
        <f t="shared" si="1"/>
        <v>2193.3603477333545</v>
      </c>
    </row>
    <row r="17" spans="1:6" x14ac:dyDescent="0.2">
      <c r="A17" s="53">
        <v>47</v>
      </c>
      <c r="B17" s="97">
        <f t="shared" si="2"/>
        <v>1796.3892033164284</v>
      </c>
      <c r="C17" s="98">
        <v>7.0000000000000007E-2</v>
      </c>
      <c r="D17" s="79">
        <f t="shared" si="0"/>
        <v>21556.670439797141</v>
      </c>
      <c r="E17" s="102">
        <f t="shared" si="3"/>
        <v>195.57463100622411</v>
      </c>
      <c r="F17" s="102">
        <f t="shared" si="1"/>
        <v>2346.8955720746894</v>
      </c>
    </row>
    <row r="18" spans="1:6" x14ac:dyDescent="0.2">
      <c r="A18" s="53">
        <v>48</v>
      </c>
      <c r="B18" s="97">
        <f t="shared" si="2"/>
        <v>1922.1364475485784</v>
      </c>
      <c r="C18" s="98">
        <v>7.0000000000000007E-2</v>
      </c>
      <c r="D18" s="79">
        <f t="shared" si="0"/>
        <v>23065.637370582939</v>
      </c>
      <c r="E18" s="102">
        <f t="shared" si="3"/>
        <v>209.26485517665981</v>
      </c>
      <c r="F18" s="102">
        <f t="shared" si="1"/>
        <v>2511.1782621199177</v>
      </c>
    </row>
    <row r="19" spans="1:6" x14ac:dyDescent="0.2">
      <c r="A19" s="53">
        <v>49</v>
      </c>
      <c r="B19" s="97">
        <f t="shared" si="2"/>
        <v>2056.6859988769788</v>
      </c>
      <c r="C19" s="98">
        <v>7.0000000000000007E-2</v>
      </c>
      <c r="D19" s="79">
        <f t="shared" si="0"/>
        <v>24680.231986523744</v>
      </c>
      <c r="E19" s="102">
        <f t="shared" si="3"/>
        <v>223.913395039026</v>
      </c>
      <c r="F19" s="102">
        <f t="shared" si="1"/>
        <v>2686.960740468312</v>
      </c>
    </row>
    <row r="20" spans="1:6" x14ac:dyDescent="0.2">
      <c r="A20" s="53">
        <v>50</v>
      </c>
      <c r="B20" s="97">
        <f t="shared" si="2"/>
        <v>2221.2208787871373</v>
      </c>
      <c r="C20" s="98">
        <v>0.08</v>
      </c>
      <c r="D20" s="79">
        <f t="shared" si="0"/>
        <v>26654.650545445649</v>
      </c>
      <c r="E20" s="102">
        <f t="shared" si="3"/>
        <v>241.82646664214809</v>
      </c>
      <c r="F20" s="102">
        <f t="shared" si="1"/>
        <v>2901.9175997057773</v>
      </c>
    </row>
    <row r="21" spans="1:6" x14ac:dyDescent="0.2">
      <c r="A21" s="53">
        <v>51</v>
      </c>
      <c r="B21" s="97">
        <f t="shared" si="2"/>
        <v>2398.9185490901086</v>
      </c>
      <c r="C21" s="98">
        <v>0.08</v>
      </c>
      <c r="D21" s="79">
        <f t="shared" si="0"/>
        <v>28787.022589081302</v>
      </c>
      <c r="E21" s="102">
        <f t="shared" si="3"/>
        <v>261.17258397351998</v>
      </c>
      <c r="F21" s="102">
        <f t="shared" si="1"/>
        <v>3134.0710076822397</v>
      </c>
    </row>
    <row r="22" spans="1:6" x14ac:dyDescent="0.2">
      <c r="A22" s="53">
        <v>52</v>
      </c>
      <c r="B22" s="97">
        <f t="shared" si="2"/>
        <v>2590.8320330173174</v>
      </c>
      <c r="C22" s="98">
        <v>0.08</v>
      </c>
      <c r="D22" s="79">
        <f t="shared" si="0"/>
        <v>31089.984396207808</v>
      </c>
      <c r="E22" s="102">
        <f t="shared" si="3"/>
        <v>282.06639069140158</v>
      </c>
      <c r="F22" s="102">
        <f t="shared" si="1"/>
        <v>3384.796688296819</v>
      </c>
    </row>
    <row r="23" spans="1:6" x14ac:dyDescent="0.2">
      <c r="A23" s="53">
        <v>53</v>
      </c>
      <c r="B23" s="97">
        <f t="shared" si="2"/>
        <v>2798.0985956587028</v>
      </c>
      <c r="C23" s="98">
        <v>0.08</v>
      </c>
      <c r="D23" s="79">
        <f t="shared" si="0"/>
        <v>33577.183147904434</v>
      </c>
      <c r="E23" s="102">
        <f t="shared" si="3"/>
        <v>304.63170194671375</v>
      </c>
      <c r="F23" s="102">
        <f t="shared" si="1"/>
        <v>3655.580423360565</v>
      </c>
    </row>
    <row r="24" spans="1:6" x14ac:dyDescent="0.2">
      <c r="A24" s="53">
        <v>54</v>
      </c>
      <c r="B24" s="97">
        <f t="shared" si="2"/>
        <v>3021.9464833113993</v>
      </c>
      <c r="C24" s="98">
        <v>0.08</v>
      </c>
      <c r="D24" s="79">
        <f t="shared" si="0"/>
        <v>36263.35779973679</v>
      </c>
      <c r="E24" s="102">
        <f t="shared" si="3"/>
        <v>329.00223810245086</v>
      </c>
      <c r="F24" s="102">
        <f t="shared" si="1"/>
        <v>3948.0268572294103</v>
      </c>
    </row>
    <row r="25" spans="1:6" x14ac:dyDescent="0.2">
      <c r="A25" s="53">
        <v>55</v>
      </c>
      <c r="B25" s="97">
        <f t="shared" si="2"/>
        <v>3263.7022019763117</v>
      </c>
      <c r="C25" s="98">
        <v>0.08</v>
      </c>
      <c r="D25" s="79">
        <f t="shared" si="0"/>
        <v>39164.42642371574</v>
      </c>
      <c r="E25" s="102">
        <f t="shared" si="3"/>
        <v>355.32241715064697</v>
      </c>
      <c r="F25" s="102">
        <f t="shared" si="1"/>
        <v>4263.8690058077636</v>
      </c>
    </row>
    <row r="26" spans="1:6" x14ac:dyDescent="0.2">
      <c r="A26" s="53">
        <v>56</v>
      </c>
      <c r="B26" s="97">
        <f t="shared" si="2"/>
        <v>3524.7983781344169</v>
      </c>
      <c r="C26" s="98">
        <v>0.08</v>
      </c>
      <c r="D26" s="79">
        <f t="shared" si="0"/>
        <v>42297.580537613001</v>
      </c>
      <c r="E26" s="102">
        <f t="shared" si="3"/>
        <v>383.74821052269874</v>
      </c>
      <c r="F26" s="102">
        <f t="shared" si="1"/>
        <v>4604.9785262723854</v>
      </c>
    </row>
    <row r="27" spans="1:6" x14ac:dyDescent="0.2">
      <c r="A27" s="53">
        <v>57</v>
      </c>
      <c r="B27" s="97">
        <f t="shared" si="2"/>
        <v>3806.7822483851705</v>
      </c>
      <c r="C27" s="98">
        <v>0.08</v>
      </c>
      <c r="D27" s="79">
        <f t="shared" si="0"/>
        <v>45681.386980622046</v>
      </c>
      <c r="E27" s="102">
        <f t="shared" si="3"/>
        <v>414.44806736451466</v>
      </c>
      <c r="F27" s="102">
        <f t="shared" si="1"/>
        <v>4973.3768083741761</v>
      </c>
    </row>
    <row r="28" spans="1:6" x14ac:dyDescent="0.2">
      <c r="A28" s="53">
        <v>58</v>
      </c>
      <c r="B28" s="97">
        <f t="shared" si="2"/>
        <v>4111.3248282559844</v>
      </c>
      <c r="C28" s="98">
        <v>0.08</v>
      </c>
      <c r="D28" s="79">
        <f t="shared" si="0"/>
        <v>49335.897939071816</v>
      </c>
      <c r="E28" s="102">
        <f t="shared" si="3"/>
        <v>447.60391275367584</v>
      </c>
      <c r="F28" s="102">
        <f t="shared" si="1"/>
        <v>5371.2469530441103</v>
      </c>
    </row>
    <row r="29" spans="1:6" x14ac:dyDescent="0.2">
      <c r="A29" s="53">
        <v>59</v>
      </c>
      <c r="B29" s="97">
        <f t="shared" si="2"/>
        <v>4440.2308145164634</v>
      </c>
      <c r="C29" s="98">
        <v>0.08</v>
      </c>
      <c r="D29" s="79">
        <f t="shared" si="0"/>
        <v>53282.769774197557</v>
      </c>
      <c r="E29" s="102">
        <f t="shared" si="3"/>
        <v>483.41222577396996</v>
      </c>
      <c r="F29" s="102">
        <f t="shared" si="1"/>
        <v>5800.9467092876394</v>
      </c>
    </row>
    <row r="30" spans="1:6" x14ac:dyDescent="0.2">
      <c r="A30" s="53">
        <v>60</v>
      </c>
      <c r="B30" s="97">
        <f t="shared" si="2"/>
        <v>4839.8515878229455</v>
      </c>
      <c r="C30" s="98">
        <v>0.09</v>
      </c>
      <c r="D30" s="79">
        <f t="shared" si="0"/>
        <v>58078.219053875349</v>
      </c>
      <c r="E30" s="102">
        <f t="shared" si="3"/>
        <v>526.91932609362732</v>
      </c>
      <c r="F30" s="102">
        <f t="shared" si="1"/>
        <v>6323.0319131235283</v>
      </c>
    </row>
    <row r="31" spans="1:6" x14ac:dyDescent="0.2">
      <c r="A31" s="53">
        <v>61</v>
      </c>
      <c r="B31" s="97">
        <f t="shared" si="2"/>
        <v>5275.4382307270107</v>
      </c>
      <c r="C31" s="98">
        <v>0.09</v>
      </c>
      <c r="D31" s="79">
        <f t="shared" si="0"/>
        <v>63305.258768724132</v>
      </c>
      <c r="E31" s="102">
        <f t="shared" si="3"/>
        <v>574.34206544205381</v>
      </c>
      <c r="F31" s="102">
        <f t="shared" si="1"/>
        <v>6892.1047853046457</v>
      </c>
    </row>
    <row r="32" spans="1:6" x14ac:dyDescent="0.2">
      <c r="A32" s="53">
        <v>62</v>
      </c>
      <c r="B32" s="97">
        <f t="shared" si="2"/>
        <v>5750.2276714924419</v>
      </c>
      <c r="C32" s="98">
        <v>0.09</v>
      </c>
      <c r="D32" s="79">
        <f t="shared" si="0"/>
        <v>69002.732057909307</v>
      </c>
      <c r="E32" s="102">
        <f t="shared" si="3"/>
        <v>626.03285133183874</v>
      </c>
      <c r="F32" s="102">
        <f t="shared" si="1"/>
        <v>7512.3942159820654</v>
      </c>
    </row>
    <row r="33" spans="1:8" x14ac:dyDescent="0.2">
      <c r="A33" s="53">
        <v>63</v>
      </c>
      <c r="B33" s="97">
        <f t="shared" si="2"/>
        <v>6267.7481619267619</v>
      </c>
      <c r="C33" s="98">
        <v>0.09</v>
      </c>
      <c r="D33" s="79">
        <f t="shared" si="0"/>
        <v>75212.977943121135</v>
      </c>
      <c r="E33" s="102">
        <f t="shared" si="3"/>
        <v>682.37580795170425</v>
      </c>
      <c r="F33" s="102">
        <f t="shared" si="1"/>
        <v>8188.509695420451</v>
      </c>
    </row>
    <row r="34" spans="1:8" x14ac:dyDescent="0.2">
      <c r="A34" s="53">
        <v>64</v>
      </c>
      <c r="B34" s="97">
        <f t="shared" si="2"/>
        <v>6831.8454965001711</v>
      </c>
      <c r="C34" s="98">
        <v>0.09</v>
      </c>
      <c r="D34" s="79">
        <f t="shared" si="0"/>
        <v>81982.145958002046</v>
      </c>
      <c r="E34" s="102">
        <f t="shared" si="3"/>
        <v>743.78963066735764</v>
      </c>
      <c r="F34" s="102">
        <f t="shared" si="1"/>
        <v>8925.4755680082926</v>
      </c>
    </row>
    <row r="35" spans="1:8" ht="17" thickBot="1" x14ac:dyDescent="0.25">
      <c r="A35" s="53">
        <v>65</v>
      </c>
      <c r="B35" s="97">
        <f>B34*(1+C35)</f>
        <v>7446.711591185187</v>
      </c>
      <c r="C35" s="98">
        <v>0.09</v>
      </c>
      <c r="D35" s="79">
        <f>B35*12</f>
        <v>89360.539094222244</v>
      </c>
      <c r="E35" s="102">
        <f t="shared" si="3"/>
        <v>810.73069742741984</v>
      </c>
      <c r="F35" s="102">
        <f t="shared" si="1"/>
        <v>9728.7683691290385</v>
      </c>
    </row>
    <row r="36" spans="1:8" ht="17" thickBot="1" x14ac:dyDescent="0.25">
      <c r="D36" s="103">
        <f>SUM(D3:D35)</f>
        <v>1083493.990880301</v>
      </c>
      <c r="E36" s="79"/>
      <c r="F36" s="103">
        <f>SUM(F3:F35)</f>
        <v>117961.03932971024</v>
      </c>
      <c r="G36" s="53">
        <v>663888</v>
      </c>
    </row>
    <row r="37" spans="1:8" x14ac:dyDescent="0.2">
      <c r="G37" s="72">
        <f>G36/F36</f>
        <v>5.6280277265477601</v>
      </c>
      <c r="H37" s="53" t="s">
        <v>131</v>
      </c>
    </row>
    <row r="38" spans="1:8" x14ac:dyDescent="0.2">
      <c r="C38" s="99"/>
      <c r="G38" s="100">
        <f>G37/(A35-A3)</f>
        <v>0.1758758664546175</v>
      </c>
      <c r="H38" s="53" t="s">
        <v>132</v>
      </c>
    </row>
    <row r="39" spans="1:8" x14ac:dyDescent="0.2">
      <c r="A39" s="53">
        <v>66</v>
      </c>
      <c r="B39" s="101">
        <f>B35*(1+C39)</f>
        <v>8191.3827503037064</v>
      </c>
      <c r="C39" s="98">
        <v>0.1</v>
      </c>
      <c r="D39" s="79">
        <f>B39*12</f>
        <v>98296.593003644477</v>
      </c>
      <c r="E39" s="104">
        <f>E35*(1+C39)</f>
        <v>891.8037671701619</v>
      </c>
      <c r="F39" s="102">
        <f t="shared" ref="F39:F50" si="4">E39*12</f>
        <v>10701.645206041943</v>
      </c>
    </row>
    <row r="40" spans="1:8" x14ac:dyDescent="0.2">
      <c r="A40" s="53">
        <v>67</v>
      </c>
      <c r="B40" s="97">
        <f>B39*(1+C40)</f>
        <v>9010.5210253340774</v>
      </c>
      <c r="C40" s="98">
        <f>C39</f>
        <v>0.1</v>
      </c>
      <c r="D40" s="79">
        <f t="shared" ref="D40:D50" si="5">B40*12</f>
        <v>108126.25230400893</v>
      </c>
      <c r="E40" s="102">
        <f t="shared" ref="E40:E50" si="6">E39*(1+C40)</f>
        <v>980.98414388717822</v>
      </c>
      <c r="F40" s="102">
        <f t="shared" si="4"/>
        <v>11771.809726646139</v>
      </c>
    </row>
    <row r="41" spans="1:8" x14ac:dyDescent="0.2">
      <c r="A41" s="53">
        <v>68</v>
      </c>
      <c r="B41" s="97">
        <f t="shared" ref="B41:B50" si="7">B40*(1+C41)</f>
        <v>9911.5731278674866</v>
      </c>
      <c r="C41" s="98">
        <f t="shared" ref="C41:C50" si="8">C40</f>
        <v>0.1</v>
      </c>
      <c r="D41" s="79">
        <f t="shared" si="5"/>
        <v>118938.87753440984</v>
      </c>
      <c r="E41" s="102">
        <f t="shared" si="6"/>
        <v>1079.0825582758962</v>
      </c>
      <c r="F41" s="102">
        <f t="shared" si="4"/>
        <v>12948.990699310754</v>
      </c>
    </row>
    <row r="42" spans="1:8" x14ac:dyDescent="0.2">
      <c r="A42" s="53">
        <v>69</v>
      </c>
      <c r="B42" s="97">
        <f t="shared" si="7"/>
        <v>10902.730440654235</v>
      </c>
      <c r="C42" s="98">
        <f t="shared" si="8"/>
        <v>0.1</v>
      </c>
      <c r="D42" s="79">
        <f t="shared" si="5"/>
        <v>130832.76528785082</v>
      </c>
      <c r="E42" s="102">
        <f t="shared" si="6"/>
        <v>1186.9908141034859</v>
      </c>
      <c r="F42" s="102">
        <f t="shared" si="4"/>
        <v>14243.889769241832</v>
      </c>
    </row>
    <row r="43" spans="1:8" x14ac:dyDescent="0.2">
      <c r="A43" s="53">
        <v>70</v>
      </c>
      <c r="B43" s="97">
        <f t="shared" si="7"/>
        <v>11993.00348471966</v>
      </c>
      <c r="C43" s="98">
        <f t="shared" si="8"/>
        <v>0.1</v>
      </c>
      <c r="D43" s="79">
        <f t="shared" si="5"/>
        <v>143916.04181663593</v>
      </c>
      <c r="E43" s="104">
        <f>E42/2</f>
        <v>593.49540705174297</v>
      </c>
      <c r="F43" s="102">
        <f t="shared" si="4"/>
        <v>7121.9448846209161</v>
      </c>
    </row>
    <row r="44" spans="1:8" x14ac:dyDescent="0.2">
      <c r="A44" s="53">
        <v>71</v>
      </c>
      <c r="B44" s="97">
        <f t="shared" si="7"/>
        <v>13192.303833191627</v>
      </c>
      <c r="C44" s="98">
        <f t="shared" si="8"/>
        <v>0.1</v>
      </c>
      <c r="D44" s="79">
        <f t="shared" si="5"/>
        <v>158307.64599829953</v>
      </c>
      <c r="E44" s="102">
        <f t="shared" si="6"/>
        <v>652.84494775691735</v>
      </c>
      <c r="F44" s="102">
        <f t="shared" si="4"/>
        <v>7834.1393730830077</v>
      </c>
    </row>
    <row r="45" spans="1:8" x14ac:dyDescent="0.2">
      <c r="A45" s="53">
        <v>72</v>
      </c>
      <c r="B45" s="97">
        <f t="shared" si="7"/>
        <v>14511.53421651079</v>
      </c>
      <c r="C45" s="98">
        <f t="shared" si="8"/>
        <v>0.1</v>
      </c>
      <c r="D45" s="79">
        <f t="shared" si="5"/>
        <v>174138.4105981295</v>
      </c>
      <c r="E45" s="102">
        <f t="shared" si="6"/>
        <v>718.12944253260912</v>
      </c>
      <c r="F45" s="102">
        <f t="shared" si="4"/>
        <v>8617.5533103913094</v>
      </c>
    </row>
    <row r="46" spans="1:8" x14ac:dyDescent="0.2">
      <c r="A46" s="53">
        <v>73</v>
      </c>
      <c r="B46" s="97">
        <f t="shared" si="7"/>
        <v>15962.687638161871</v>
      </c>
      <c r="C46" s="98">
        <f t="shared" si="8"/>
        <v>0.1</v>
      </c>
      <c r="D46" s="79">
        <f t="shared" si="5"/>
        <v>191552.25165794246</v>
      </c>
      <c r="E46" s="102">
        <f t="shared" si="6"/>
        <v>789.9423867858701</v>
      </c>
      <c r="F46" s="102">
        <f t="shared" si="4"/>
        <v>9479.3086414304416</v>
      </c>
    </row>
    <row r="47" spans="1:8" x14ac:dyDescent="0.2">
      <c r="A47" s="53">
        <v>74</v>
      </c>
      <c r="B47" s="97">
        <f t="shared" si="7"/>
        <v>17558.956401978059</v>
      </c>
      <c r="C47" s="98">
        <f t="shared" si="8"/>
        <v>0.1</v>
      </c>
      <c r="D47" s="79">
        <f t="shared" si="5"/>
        <v>210707.47682373671</v>
      </c>
      <c r="E47" s="104">
        <f>E46/2</f>
        <v>394.97119339293505</v>
      </c>
      <c r="F47" s="102">
        <f t="shared" si="4"/>
        <v>4739.6543207152208</v>
      </c>
    </row>
    <row r="48" spans="1:8" x14ac:dyDescent="0.2">
      <c r="A48" s="53">
        <v>75</v>
      </c>
      <c r="B48" s="97">
        <f t="shared" si="7"/>
        <v>19314.852042175866</v>
      </c>
      <c r="C48" s="98">
        <f t="shared" si="8"/>
        <v>0.1</v>
      </c>
      <c r="D48" s="79">
        <f t="shared" si="5"/>
        <v>231778.22450611039</v>
      </c>
      <c r="E48" s="102">
        <f t="shared" si="6"/>
        <v>434.46831273222858</v>
      </c>
      <c r="F48" s="102">
        <f t="shared" si="4"/>
        <v>5213.6197527867425</v>
      </c>
    </row>
    <row r="49" spans="1:7" x14ac:dyDescent="0.2">
      <c r="A49" s="53">
        <v>76</v>
      </c>
      <c r="B49" s="97">
        <f t="shared" si="7"/>
        <v>21246.337246393454</v>
      </c>
      <c r="C49" s="98">
        <f t="shared" si="8"/>
        <v>0.1</v>
      </c>
      <c r="D49" s="79">
        <f t="shared" si="5"/>
        <v>254956.04695672146</v>
      </c>
      <c r="E49" s="102">
        <f t="shared" si="6"/>
        <v>477.91514400545145</v>
      </c>
      <c r="F49" s="102">
        <f t="shared" si="4"/>
        <v>5734.981728065417</v>
      </c>
    </row>
    <row r="50" spans="1:7" ht="17" thickBot="1" x14ac:dyDescent="0.25">
      <c r="A50" s="53">
        <v>77</v>
      </c>
      <c r="B50" s="97">
        <f t="shared" si="7"/>
        <v>23370.970971032802</v>
      </c>
      <c r="C50" s="98">
        <f t="shared" si="8"/>
        <v>0.1</v>
      </c>
      <c r="D50" s="79">
        <f t="shared" si="5"/>
        <v>280451.65165239363</v>
      </c>
      <c r="E50" s="102">
        <f t="shared" si="6"/>
        <v>525.70665840599668</v>
      </c>
      <c r="F50" s="102">
        <f t="shared" si="4"/>
        <v>6308.4799008719601</v>
      </c>
    </row>
    <row r="51" spans="1:7" ht="17" thickBot="1" x14ac:dyDescent="0.25">
      <c r="D51" s="79">
        <f>SUM(D39:D50)+D36</f>
        <v>3185496.2290201848</v>
      </c>
      <c r="E51" s="4">
        <f>G51</f>
        <v>2655552</v>
      </c>
      <c r="F51" s="103">
        <f>SUM(F39:F50)+F36</f>
        <v>222677.05664291594</v>
      </c>
      <c r="G51" s="4">
        <f>G36*4</f>
        <v>2655552</v>
      </c>
    </row>
    <row r="52" spans="1:7" x14ac:dyDescent="0.2">
      <c r="E52" s="72">
        <f>E51/D51</f>
        <v>0.83363840641456721</v>
      </c>
      <c r="G52" s="72">
        <f>G51/F51</f>
        <v>11.925575270461891</v>
      </c>
    </row>
    <row r="53" spans="1:7" x14ac:dyDescent="0.2">
      <c r="E53" s="100">
        <f>E52/($A$50-$A$3)</f>
        <v>1.894632741851289E-2</v>
      </c>
      <c r="G53" s="100">
        <f>G52/($A$50-$A$3)</f>
        <v>0.27103580160140661</v>
      </c>
    </row>
  </sheetData>
  <sheetProtection algorithmName="SHA-512" hashValue="SmadWSIl4k7WXpL+ZYJTlqujg4oGD5XIfKbNvzDFwPKnujwJTbckLTSBR/vuAKL0Clza42j1vDqaGdedCC9YQA==" saltValue="UshJNrMlpJiQUs9nHcuCcg==" spinCount="100000" sheet="1" objects="1" scenarios="1"/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1384-7558-0048-A2DB-8F1395C6B23F}">
  <dimension ref="B2:AQ47"/>
  <sheetViews>
    <sheetView showGridLines="0" zoomScale="58" workbookViewId="0">
      <selection sqref="A1:XFD1048576"/>
    </sheetView>
  </sheetViews>
  <sheetFormatPr baseColWidth="10" defaultRowHeight="16" x14ac:dyDescent="0.2"/>
  <cols>
    <col min="1" max="3" width="10.83203125" style="3"/>
    <col min="4" max="4" width="22.83203125" style="3" customWidth="1"/>
    <col min="5" max="8" width="10.83203125" style="3"/>
    <col min="9" max="9" width="12.83203125" style="3" bestFit="1" customWidth="1"/>
    <col min="10" max="10" width="13.83203125" style="3" bestFit="1" customWidth="1"/>
    <col min="11" max="37" width="10.83203125" style="3"/>
    <col min="38" max="42" width="11.6640625" style="3" bestFit="1" customWidth="1"/>
    <col min="43" max="16384" width="10.83203125" style="3"/>
  </cols>
  <sheetData>
    <row r="2" spans="2:18" x14ac:dyDescent="0.2">
      <c r="B2" s="3" t="s">
        <v>133</v>
      </c>
      <c r="D2" s="3" t="s">
        <v>201</v>
      </c>
      <c r="E2" s="3" t="s">
        <v>134</v>
      </c>
      <c r="I2" s="3" t="s">
        <v>172</v>
      </c>
      <c r="K2" s="10" t="s">
        <v>175</v>
      </c>
      <c r="N2" s="3">
        <v>828509963</v>
      </c>
      <c r="P2" s="3" t="s">
        <v>178</v>
      </c>
    </row>
    <row r="3" spans="2:18" x14ac:dyDescent="0.2">
      <c r="B3" s="3" t="s">
        <v>135</v>
      </c>
      <c r="D3" s="3" t="s">
        <v>136</v>
      </c>
      <c r="I3" s="3" t="s">
        <v>173</v>
      </c>
      <c r="K3" s="10" t="s">
        <v>174</v>
      </c>
      <c r="N3" s="3">
        <v>824111080</v>
      </c>
      <c r="P3" s="3" t="s">
        <v>177</v>
      </c>
    </row>
    <row r="4" spans="2:18" x14ac:dyDescent="0.2">
      <c r="B4" s="3" t="s">
        <v>137</v>
      </c>
      <c r="D4" s="3" t="s">
        <v>136</v>
      </c>
      <c r="I4" s="3" t="s">
        <v>221</v>
      </c>
      <c r="K4" s="10" t="s">
        <v>176</v>
      </c>
      <c r="N4" s="3">
        <v>825634960</v>
      </c>
      <c r="P4" s="3" t="s">
        <v>178</v>
      </c>
    </row>
    <row r="5" spans="2:18" x14ac:dyDescent="0.2">
      <c r="B5" s="3" t="s">
        <v>138</v>
      </c>
      <c r="D5" s="3" t="s">
        <v>136</v>
      </c>
      <c r="I5" s="3" t="s">
        <v>179</v>
      </c>
      <c r="N5" s="3">
        <v>825635165</v>
      </c>
      <c r="P5" s="3" t="s">
        <v>177</v>
      </c>
      <c r="Q5" s="3">
        <v>711428153</v>
      </c>
      <c r="R5" s="3" t="s">
        <v>222</v>
      </c>
    </row>
    <row r="6" spans="2:18" x14ac:dyDescent="0.2">
      <c r="B6" s="3" t="s">
        <v>206</v>
      </c>
      <c r="D6" s="3" t="s">
        <v>139</v>
      </c>
      <c r="I6" s="3" t="s">
        <v>180</v>
      </c>
      <c r="N6" s="3">
        <v>605268479</v>
      </c>
      <c r="P6" s="3" t="s">
        <v>177</v>
      </c>
    </row>
    <row r="7" spans="2:18" x14ac:dyDescent="0.2">
      <c r="B7" s="3" t="s">
        <v>140</v>
      </c>
      <c r="D7" s="3" t="s">
        <v>141</v>
      </c>
      <c r="E7" s="3" t="s">
        <v>134</v>
      </c>
      <c r="I7" s="3" t="s">
        <v>181</v>
      </c>
      <c r="K7" s="10" t="s">
        <v>189</v>
      </c>
      <c r="N7" s="3">
        <v>128070383</v>
      </c>
      <c r="P7" s="3" t="s">
        <v>187</v>
      </c>
    </row>
    <row r="8" spans="2:18" x14ac:dyDescent="0.2">
      <c r="B8" s="3" t="s">
        <v>142</v>
      </c>
      <c r="D8" s="3" t="s">
        <v>136</v>
      </c>
      <c r="E8" s="3" t="s">
        <v>143</v>
      </c>
      <c r="I8" s="3" t="s">
        <v>182</v>
      </c>
      <c r="K8" s="10" t="s">
        <v>190</v>
      </c>
      <c r="N8" s="3">
        <v>728236675</v>
      </c>
      <c r="P8" s="3" t="s">
        <v>178</v>
      </c>
    </row>
    <row r="9" spans="2:18" x14ac:dyDescent="0.2">
      <c r="B9" s="3" t="s">
        <v>144</v>
      </c>
      <c r="D9" s="3" t="s">
        <v>145</v>
      </c>
      <c r="I9" s="3" t="s">
        <v>183</v>
      </c>
      <c r="K9" s="10" t="s">
        <v>223</v>
      </c>
      <c r="N9" s="3">
        <v>827884880</v>
      </c>
      <c r="P9" s="3" t="s">
        <v>177</v>
      </c>
    </row>
    <row r="10" spans="2:18" x14ac:dyDescent="0.2">
      <c r="B10" s="3" t="s">
        <v>146</v>
      </c>
      <c r="D10" s="3" t="s">
        <v>147</v>
      </c>
      <c r="I10" s="3" t="s">
        <v>184</v>
      </c>
      <c r="K10" s="10" t="s">
        <v>185</v>
      </c>
      <c r="P10" s="3" t="s">
        <v>178</v>
      </c>
    </row>
    <row r="11" spans="2:18" x14ac:dyDescent="0.2">
      <c r="B11" s="3" t="s">
        <v>148</v>
      </c>
      <c r="D11" s="3" t="s">
        <v>136</v>
      </c>
      <c r="I11" s="3" t="s">
        <v>186</v>
      </c>
      <c r="K11" s="10" t="s">
        <v>188</v>
      </c>
      <c r="N11" s="3">
        <v>725735897</v>
      </c>
      <c r="P11" s="3" t="s">
        <v>187</v>
      </c>
    </row>
    <row r="12" spans="2:18" x14ac:dyDescent="0.2">
      <c r="B12" s="3" t="s">
        <v>149</v>
      </c>
      <c r="D12" s="3" t="s">
        <v>152</v>
      </c>
      <c r="I12" s="3" t="s">
        <v>191</v>
      </c>
      <c r="K12" s="10" t="s">
        <v>192</v>
      </c>
      <c r="N12" s="3">
        <v>810460019</v>
      </c>
      <c r="P12" s="3" t="s">
        <v>187</v>
      </c>
    </row>
    <row r="13" spans="2:18" x14ac:dyDescent="0.2">
      <c r="B13" s="3" t="s">
        <v>150</v>
      </c>
      <c r="D13" s="3" t="s">
        <v>151</v>
      </c>
      <c r="I13" s="3" t="s">
        <v>193</v>
      </c>
      <c r="N13" s="3">
        <v>833130166</v>
      </c>
      <c r="P13" s="3" t="s">
        <v>187</v>
      </c>
    </row>
    <row r="14" spans="2:18" x14ac:dyDescent="0.2">
      <c r="B14" s="3" t="s">
        <v>153</v>
      </c>
      <c r="D14" s="3" t="s">
        <v>83</v>
      </c>
      <c r="I14" s="3" t="s">
        <v>194</v>
      </c>
      <c r="K14" s="10" t="s">
        <v>195</v>
      </c>
      <c r="N14" s="3">
        <v>828506518</v>
      </c>
      <c r="P14" s="3" t="s">
        <v>177</v>
      </c>
    </row>
    <row r="15" spans="2:18" x14ac:dyDescent="0.2">
      <c r="B15" s="3" t="s">
        <v>154</v>
      </c>
      <c r="I15" s="3" t="s">
        <v>196</v>
      </c>
      <c r="N15" s="3">
        <v>828979230</v>
      </c>
      <c r="P15" s="3" t="s">
        <v>177</v>
      </c>
    </row>
    <row r="16" spans="2:18" x14ac:dyDescent="0.2">
      <c r="B16" s="3" t="s">
        <v>155</v>
      </c>
      <c r="I16" s="3" t="s">
        <v>197</v>
      </c>
      <c r="N16" s="3">
        <v>845844335</v>
      </c>
      <c r="P16" s="3" t="s">
        <v>187</v>
      </c>
    </row>
    <row r="17" spans="2:43" x14ac:dyDescent="0.2">
      <c r="B17" s="3" t="s">
        <v>156</v>
      </c>
    </row>
    <row r="18" spans="2:43" x14ac:dyDescent="0.2">
      <c r="B18" s="3" t="s">
        <v>157</v>
      </c>
      <c r="I18" s="3" t="s">
        <v>198</v>
      </c>
    </row>
    <row r="19" spans="2:43" x14ac:dyDescent="0.2">
      <c r="B19" s="3" t="s">
        <v>158</v>
      </c>
      <c r="I19" s="3" t="s">
        <v>199</v>
      </c>
    </row>
    <row r="20" spans="2:43" x14ac:dyDescent="0.2">
      <c r="B20" s="3" t="s">
        <v>159</v>
      </c>
      <c r="I20" s="3" t="s">
        <v>200</v>
      </c>
    </row>
    <row r="21" spans="2:43" x14ac:dyDescent="0.2">
      <c r="B21" s="3" t="s">
        <v>160</v>
      </c>
      <c r="I21" s="3" t="s">
        <v>146</v>
      </c>
    </row>
    <row r="22" spans="2:43" x14ac:dyDescent="0.2">
      <c r="B22" s="3" t="s">
        <v>161</v>
      </c>
    </row>
    <row r="23" spans="2:43" x14ac:dyDescent="0.2">
      <c r="B23" s="3" t="s">
        <v>162</v>
      </c>
    </row>
    <row r="24" spans="2:43" x14ac:dyDescent="0.2">
      <c r="B24" s="3" t="s">
        <v>163</v>
      </c>
    </row>
    <row r="25" spans="2:43" ht="19" x14ac:dyDescent="0.25">
      <c r="B25" s="3" t="s">
        <v>164</v>
      </c>
      <c r="I25" s="11">
        <v>30</v>
      </c>
      <c r="J25" s="11">
        <v>31</v>
      </c>
      <c r="K25" s="11">
        <v>32</v>
      </c>
      <c r="L25" s="11">
        <v>33</v>
      </c>
      <c r="M25" s="11">
        <v>34</v>
      </c>
      <c r="N25" s="11">
        <v>35</v>
      </c>
      <c r="O25" s="11">
        <v>36</v>
      </c>
      <c r="P25" s="11">
        <v>37</v>
      </c>
      <c r="Q25" s="11">
        <v>38</v>
      </c>
      <c r="R25" s="11">
        <v>39</v>
      </c>
      <c r="S25" s="11">
        <v>40</v>
      </c>
      <c r="T25" s="11">
        <v>41</v>
      </c>
      <c r="U25" s="11">
        <v>42</v>
      </c>
      <c r="V25" s="11">
        <v>43</v>
      </c>
      <c r="W25" s="11">
        <v>44</v>
      </c>
      <c r="X25" s="11">
        <v>45</v>
      </c>
      <c r="Y25" s="11">
        <v>46</v>
      </c>
      <c r="Z25" s="11">
        <v>47</v>
      </c>
      <c r="AA25" s="11">
        <v>48</v>
      </c>
      <c r="AB25" s="11">
        <v>49</v>
      </c>
      <c r="AC25" s="11">
        <v>50</v>
      </c>
      <c r="AD25" s="11">
        <v>51</v>
      </c>
      <c r="AE25" s="11">
        <v>52</v>
      </c>
      <c r="AF25" s="11">
        <v>53</v>
      </c>
      <c r="AG25" s="11">
        <v>54</v>
      </c>
      <c r="AH25" s="11">
        <v>55</v>
      </c>
      <c r="AI25" s="11">
        <v>56</v>
      </c>
      <c r="AJ25" s="11">
        <v>57</v>
      </c>
      <c r="AK25" s="11">
        <v>58</v>
      </c>
      <c r="AL25" s="6">
        <v>59</v>
      </c>
      <c r="AM25" s="6">
        <v>60</v>
      </c>
      <c r="AN25" s="6">
        <v>61</v>
      </c>
      <c r="AO25" s="6">
        <v>62</v>
      </c>
      <c r="AP25" s="6">
        <v>63</v>
      </c>
    </row>
    <row r="26" spans="2:43" ht="19" x14ac:dyDescent="0.25">
      <c r="B26" s="3" t="s">
        <v>165</v>
      </c>
      <c r="I26" s="12">
        <v>1232</v>
      </c>
      <c r="J26" s="12">
        <f>I26</f>
        <v>1232</v>
      </c>
      <c r="K26" s="12">
        <f t="shared" ref="K26:S26" si="0">J26</f>
        <v>1232</v>
      </c>
      <c r="L26" s="12">
        <f t="shared" si="0"/>
        <v>1232</v>
      </c>
      <c r="M26" s="12">
        <f t="shared" si="0"/>
        <v>1232</v>
      </c>
      <c r="N26" s="12">
        <f t="shared" si="0"/>
        <v>1232</v>
      </c>
      <c r="O26" s="12">
        <f t="shared" si="0"/>
        <v>1232</v>
      </c>
      <c r="P26" s="12">
        <f t="shared" si="0"/>
        <v>1232</v>
      </c>
      <c r="Q26" s="12">
        <f t="shared" si="0"/>
        <v>1232</v>
      </c>
      <c r="R26" s="12">
        <f t="shared" si="0"/>
        <v>1232</v>
      </c>
      <c r="S26" s="12">
        <f t="shared" si="0"/>
        <v>1232</v>
      </c>
      <c r="T26" s="12">
        <f>S26</f>
        <v>1232</v>
      </c>
      <c r="U26" s="12">
        <f t="shared" ref="U26:AC26" si="1">T26</f>
        <v>1232</v>
      </c>
      <c r="V26" s="12">
        <f t="shared" si="1"/>
        <v>1232</v>
      </c>
      <c r="W26" s="12">
        <f t="shared" si="1"/>
        <v>1232</v>
      </c>
      <c r="X26" s="12">
        <f t="shared" si="1"/>
        <v>1232</v>
      </c>
      <c r="Y26" s="12">
        <f t="shared" si="1"/>
        <v>1232</v>
      </c>
      <c r="Z26" s="12">
        <f t="shared" si="1"/>
        <v>1232</v>
      </c>
      <c r="AA26" s="12">
        <f t="shared" si="1"/>
        <v>1232</v>
      </c>
      <c r="AB26" s="12">
        <f t="shared" si="1"/>
        <v>1232</v>
      </c>
      <c r="AC26" s="12">
        <f t="shared" si="1"/>
        <v>1232</v>
      </c>
      <c r="AD26" s="12">
        <f>AC26</f>
        <v>1232</v>
      </c>
      <c r="AE26" s="12">
        <f t="shared" ref="AE26:AM26" si="2">AD26</f>
        <v>1232</v>
      </c>
      <c r="AF26" s="12">
        <f t="shared" si="2"/>
        <v>1232</v>
      </c>
      <c r="AG26" s="12">
        <f t="shared" si="2"/>
        <v>1232</v>
      </c>
      <c r="AH26" s="12">
        <f t="shared" si="2"/>
        <v>1232</v>
      </c>
      <c r="AI26" s="12">
        <f t="shared" si="2"/>
        <v>1232</v>
      </c>
      <c r="AJ26" s="12">
        <f t="shared" si="2"/>
        <v>1232</v>
      </c>
      <c r="AK26" s="12">
        <f t="shared" si="2"/>
        <v>1232</v>
      </c>
      <c r="AL26" s="7">
        <f t="shared" si="2"/>
        <v>1232</v>
      </c>
      <c r="AM26" s="7">
        <f t="shared" si="2"/>
        <v>1232</v>
      </c>
      <c r="AN26" s="7">
        <f>AM26</f>
        <v>1232</v>
      </c>
      <c r="AO26" s="7">
        <f>AN26</f>
        <v>1232</v>
      </c>
      <c r="AP26" s="7">
        <f>AO26</f>
        <v>1232</v>
      </c>
      <c r="AQ26" s="5">
        <f>SUM(I26:AP26) * 12</f>
        <v>502656</v>
      </c>
    </row>
    <row r="27" spans="2:43" ht="19" x14ac:dyDescent="0.25">
      <c r="B27" s="3" t="s">
        <v>166</v>
      </c>
      <c r="I27" s="12">
        <v>1000000</v>
      </c>
      <c r="J27" s="12">
        <f>I27*1.03</f>
        <v>1030000</v>
      </c>
      <c r="K27" s="12">
        <f t="shared" ref="K27:S27" si="3">J27*1.03</f>
        <v>1060900</v>
      </c>
      <c r="L27" s="12">
        <f t="shared" si="3"/>
        <v>1092727</v>
      </c>
      <c r="M27" s="12">
        <f t="shared" si="3"/>
        <v>1125508.81</v>
      </c>
      <c r="N27" s="12">
        <f t="shared" si="3"/>
        <v>1159274.0743</v>
      </c>
      <c r="O27" s="12">
        <f t="shared" si="3"/>
        <v>1194052.2965289999</v>
      </c>
      <c r="P27" s="12">
        <f t="shared" si="3"/>
        <v>1229873.86542487</v>
      </c>
      <c r="Q27" s="12">
        <f t="shared" si="3"/>
        <v>1266770.0813876162</v>
      </c>
      <c r="R27" s="12">
        <f t="shared" si="3"/>
        <v>1304773.1838292447</v>
      </c>
      <c r="S27" s="12">
        <f t="shared" si="3"/>
        <v>1343916.379344122</v>
      </c>
      <c r="T27" s="12">
        <f>S27*1.03</f>
        <v>1384233.8707244457</v>
      </c>
      <c r="U27" s="12">
        <f t="shared" ref="U27:AC27" si="4">T27*1.03</f>
        <v>1425760.8868461791</v>
      </c>
      <c r="V27" s="12">
        <f t="shared" si="4"/>
        <v>1468533.7134515645</v>
      </c>
      <c r="W27" s="12">
        <f t="shared" si="4"/>
        <v>1512589.7248551114</v>
      </c>
      <c r="X27" s="12">
        <f t="shared" si="4"/>
        <v>1557967.4166007647</v>
      </c>
      <c r="Y27" s="12">
        <f t="shared" si="4"/>
        <v>1604706.4390987877</v>
      </c>
      <c r="Z27" s="12">
        <f t="shared" si="4"/>
        <v>1652847.6322717513</v>
      </c>
      <c r="AA27" s="12">
        <f t="shared" si="4"/>
        <v>1702433.0612399038</v>
      </c>
      <c r="AB27" s="12">
        <f t="shared" si="4"/>
        <v>1753506.053077101</v>
      </c>
      <c r="AC27" s="12">
        <f t="shared" si="4"/>
        <v>1806111.2346694141</v>
      </c>
      <c r="AD27" s="12">
        <f>AC27*1.03</f>
        <v>1860294.5717094967</v>
      </c>
      <c r="AE27" s="12">
        <f t="shared" ref="AE27:AM27" si="5">AD27*1.03</f>
        <v>1916103.4088607817</v>
      </c>
      <c r="AF27" s="12">
        <f t="shared" si="5"/>
        <v>1973586.5111266051</v>
      </c>
      <c r="AG27" s="12">
        <f t="shared" si="5"/>
        <v>2032794.1064604032</v>
      </c>
      <c r="AH27" s="12">
        <f t="shared" si="5"/>
        <v>2093777.9296542152</v>
      </c>
      <c r="AI27" s="12">
        <f t="shared" si="5"/>
        <v>2156591.2675438416</v>
      </c>
      <c r="AJ27" s="12">
        <f t="shared" si="5"/>
        <v>2221289.005570157</v>
      </c>
      <c r="AK27" s="12">
        <f t="shared" si="5"/>
        <v>2287927.6757372618</v>
      </c>
      <c r="AL27" s="7">
        <f t="shared" si="5"/>
        <v>2356565.5060093799</v>
      </c>
      <c r="AM27" s="7">
        <f t="shared" si="5"/>
        <v>2427262.4711896614</v>
      </c>
      <c r="AN27" s="7">
        <f t="shared" ref="AN27:AP28" si="6">AM27*1.03</f>
        <v>2500080.3453253512</v>
      </c>
      <c r="AO27" s="7">
        <f t="shared" si="6"/>
        <v>2575082.755685112</v>
      </c>
      <c r="AP27" s="7">
        <f t="shared" si="6"/>
        <v>2652335.2383556655</v>
      </c>
      <c r="AQ27" s="5"/>
    </row>
    <row r="28" spans="2:43" ht="19" x14ac:dyDescent="0.25">
      <c r="B28" s="3" t="s">
        <v>167</v>
      </c>
      <c r="I28" s="12">
        <v>3300000</v>
      </c>
      <c r="J28" s="12">
        <f>I28*1.03</f>
        <v>3399000</v>
      </c>
      <c r="K28" s="12">
        <f t="shared" ref="K28:S28" si="7">J28*1.03</f>
        <v>3500970</v>
      </c>
      <c r="L28" s="12">
        <f t="shared" si="7"/>
        <v>3605999.1</v>
      </c>
      <c r="M28" s="12">
        <f t="shared" si="7"/>
        <v>3714179.0730000003</v>
      </c>
      <c r="N28" s="12">
        <f t="shared" si="7"/>
        <v>3825604.4451900003</v>
      </c>
      <c r="O28" s="12">
        <f t="shared" si="7"/>
        <v>3940372.5785457003</v>
      </c>
      <c r="P28" s="12">
        <f t="shared" si="7"/>
        <v>4058583.7559020715</v>
      </c>
      <c r="Q28" s="12">
        <f t="shared" si="7"/>
        <v>4180341.2685791338</v>
      </c>
      <c r="R28" s="12">
        <f t="shared" si="7"/>
        <v>4305751.5066365078</v>
      </c>
      <c r="S28" s="12">
        <f t="shared" si="7"/>
        <v>4434924.0518356031</v>
      </c>
      <c r="T28" s="12">
        <f>S28*1.03</f>
        <v>4567971.7733906712</v>
      </c>
      <c r="U28" s="12">
        <f t="shared" ref="U28:AC28" si="8">T28*1.03</f>
        <v>4705010.9265923919</v>
      </c>
      <c r="V28" s="12">
        <f t="shared" si="8"/>
        <v>4846161.2543901633</v>
      </c>
      <c r="W28" s="12">
        <f t="shared" si="8"/>
        <v>4991546.0920218686</v>
      </c>
      <c r="X28" s="12">
        <f t="shared" si="8"/>
        <v>5141292.4747825246</v>
      </c>
      <c r="Y28" s="12">
        <f t="shared" si="8"/>
        <v>5295531.2490260005</v>
      </c>
      <c r="Z28" s="12">
        <f t="shared" si="8"/>
        <v>5454397.1864967803</v>
      </c>
      <c r="AA28" s="12">
        <f t="shared" si="8"/>
        <v>5618029.102091684</v>
      </c>
      <c r="AB28" s="12">
        <f t="shared" si="8"/>
        <v>5786569.9751544343</v>
      </c>
      <c r="AC28" s="12">
        <f t="shared" si="8"/>
        <v>5960167.0744090676</v>
      </c>
      <c r="AD28" s="12">
        <f>AC28*1.03</f>
        <v>6138972.0866413396</v>
      </c>
      <c r="AE28" s="12">
        <f t="shared" ref="AE28:AM28" si="9">AD28*1.03</f>
        <v>6323141.24924058</v>
      </c>
      <c r="AF28" s="12">
        <f t="shared" si="9"/>
        <v>6512835.4867177978</v>
      </c>
      <c r="AG28" s="12">
        <f t="shared" si="9"/>
        <v>6708220.5513193319</v>
      </c>
      <c r="AH28" s="12">
        <f t="shared" si="9"/>
        <v>6909467.1678589117</v>
      </c>
      <c r="AI28" s="12">
        <f t="shared" si="9"/>
        <v>7116751.1828946788</v>
      </c>
      <c r="AJ28" s="12">
        <f t="shared" si="9"/>
        <v>7330253.7183815194</v>
      </c>
      <c r="AK28" s="12">
        <f t="shared" si="9"/>
        <v>7550161.3299329653</v>
      </c>
      <c r="AL28" s="7">
        <f t="shared" si="9"/>
        <v>7776666.1698309546</v>
      </c>
      <c r="AM28" s="7">
        <f t="shared" si="9"/>
        <v>8009966.1549258837</v>
      </c>
      <c r="AN28" s="7">
        <f t="shared" si="6"/>
        <v>8250265.1395736607</v>
      </c>
      <c r="AO28" s="7">
        <f t="shared" si="6"/>
        <v>8497773.0937608704</v>
      </c>
      <c r="AP28" s="7">
        <f t="shared" si="6"/>
        <v>8752706.2865736969</v>
      </c>
      <c r="AQ28" s="5"/>
    </row>
    <row r="29" spans="2:43" x14ac:dyDescent="0.2">
      <c r="B29" s="3" t="s">
        <v>168</v>
      </c>
      <c r="AQ29" s="5"/>
    </row>
    <row r="30" spans="2:43" x14ac:dyDescent="0.2">
      <c r="B30" s="3" t="s">
        <v>169</v>
      </c>
      <c r="AQ30" s="5"/>
    </row>
    <row r="31" spans="2:43" x14ac:dyDescent="0.2">
      <c r="B31" s="3" t="s">
        <v>170</v>
      </c>
      <c r="I31" s="12">
        <v>810.77</v>
      </c>
      <c r="J31" s="13">
        <f>(I31*J35)+I31</f>
        <v>884.55007000000001</v>
      </c>
      <c r="K31" s="13">
        <f t="shared" ref="K31:T31" si="10">(J31*K35)+J31</f>
        <v>965.92867644</v>
      </c>
      <c r="L31" s="13">
        <f t="shared" si="10"/>
        <v>1055.7600433489199</v>
      </c>
      <c r="M31" s="13">
        <f t="shared" si="10"/>
        <v>1155.0014874237183</v>
      </c>
      <c r="N31" s="13">
        <f t="shared" si="10"/>
        <v>1264.7266287289715</v>
      </c>
      <c r="O31" s="13">
        <f t="shared" si="10"/>
        <v>1386.1403850869528</v>
      </c>
      <c r="P31" s="13">
        <f t="shared" si="10"/>
        <v>1520.5960024403873</v>
      </c>
      <c r="Q31" s="13">
        <f t="shared" si="10"/>
        <v>1669.6144106795452</v>
      </c>
      <c r="R31" s="13">
        <f t="shared" si="10"/>
        <v>1834.9062373368201</v>
      </c>
      <c r="S31" s="13">
        <f t="shared" si="10"/>
        <v>2018.3968610705022</v>
      </c>
      <c r="T31" s="13">
        <f t="shared" si="10"/>
        <v>2222.2549440386229</v>
      </c>
      <c r="U31" s="13">
        <f t="shared" ref="U31:AP31" si="11">(T31*U35)+T31</f>
        <v>2448.9249483305625</v>
      </c>
      <c r="V31" s="13">
        <f t="shared" si="11"/>
        <v>2701.1642180086105</v>
      </c>
      <c r="W31" s="13">
        <f t="shared" si="11"/>
        <v>2982.085296681506</v>
      </c>
      <c r="X31" s="13">
        <f t="shared" si="11"/>
        <v>3295.2042528330639</v>
      </c>
      <c r="Y31" s="13">
        <f t="shared" si="11"/>
        <v>3644.4959036333689</v>
      </c>
      <c r="Z31" s="13">
        <f t="shared" si="11"/>
        <v>4034.4569653221397</v>
      </c>
      <c r="AA31" s="13">
        <f t="shared" si="11"/>
        <v>4470.1783175769306</v>
      </c>
      <c r="AB31" s="13">
        <f t="shared" si="11"/>
        <v>4957.4277541928159</v>
      </c>
      <c r="AC31" s="13">
        <f t="shared" si="11"/>
        <v>5502.7448071540257</v>
      </c>
      <c r="AD31" s="13">
        <f t="shared" si="11"/>
        <v>6113.5494807481227</v>
      </c>
      <c r="AE31" s="13">
        <f t="shared" si="11"/>
        <v>6798.2670225919128</v>
      </c>
      <c r="AF31" s="13">
        <f t="shared" si="11"/>
        <v>7566.4711961447993</v>
      </c>
      <c r="AG31" s="13">
        <f t="shared" si="11"/>
        <v>8429.0489125053064</v>
      </c>
      <c r="AH31" s="13">
        <f t="shared" si="11"/>
        <v>9398.389537443416</v>
      </c>
      <c r="AI31" s="13">
        <f t="shared" si="11"/>
        <v>10488.602723786853</v>
      </c>
      <c r="AJ31" s="13">
        <f t="shared" si="11"/>
        <v>11715.769242469914</v>
      </c>
      <c r="AK31" s="13">
        <f t="shared" si="11"/>
        <v>13098.230013081364</v>
      </c>
      <c r="AL31" s="8">
        <f t="shared" si="11"/>
        <v>14656.919384638046</v>
      </c>
      <c r="AM31" s="8">
        <f t="shared" si="11"/>
        <v>16415.749710794611</v>
      </c>
      <c r="AN31" s="8">
        <f t="shared" si="11"/>
        <v>18402.055425800758</v>
      </c>
      <c r="AO31" s="8">
        <f t="shared" si="11"/>
        <v>20647.10618774845</v>
      </c>
      <c r="AP31" s="8">
        <f t="shared" si="11"/>
        <v>23186.700248841509</v>
      </c>
      <c r="AQ31" s="5">
        <f>SUM(I31:AP31) * 12</f>
        <v>2612906.2475630711</v>
      </c>
    </row>
    <row r="32" spans="2:43" x14ac:dyDescent="0.2">
      <c r="B32" s="3" t="s">
        <v>171</v>
      </c>
      <c r="AL32" s="9"/>
      <c r="AM32" s="9"/>
      <c r="AN32" s="9"/>
      <c r="AO32" s="9"/>
      <c r="AP32" s="9"/>
    </row>
    <row r="33" spans="2:42" x14ac:dyDescent="0.2">
      <c r="B33" s="3" t="s">
        <v>202</v>
      </c>
      <c r="D33" s="3" t="s">
        <v>136</v>
      </c>
      <c r="AL33" s="9"/>
      <c r="AM33" s="9"/>
      <c r="AN33" s="9"/>
      <c r="AO33" s="9"/>
      <c r="AP33" s="9"/>
    </row>
    <row r="34" spans="2:42" x14ac:dyDescent="0.2">
      <c r="B34" s="3" t="s">
        <v>203</v>
      </c>
      <c r="D34" s="3" t="s">
        <v>204</v>
      </c>
      <c r="AL34" s="9"/>
      <c r="AM34" s="9"/>
      <c r="AN34" s="9"/>
      <c r="AO34" s="9"/>
      <c r="AP34" s="9"/>
    </row>
    <row r="35" spans="2:42" x14ac:dyDescent="0.2">
      <c r="B35" s="3" t="s">
        <v>205</v>
      </c>
      <c r="J35" s="3">
        <v>9.0999999999999998E-2</v>
      </c>
      <c r="K35" s="3">
        <f>J37</f>
        <v>9.1999999999999998E-2</v>
      </c>
      <c r="L35" s="3">
        <f t="shared" ref="L35:T35" si="12">K37</f>
        <v>9.2999999999999999E-2</v>
      </c>
      <c r="M35" s="3">
        <f t="shared" si="12"/>
        <v>9.4E-2</v>
      </c>
      <c r="N35" s="3">
        <f t="shared" si="12"/>
        <v>9.5000000000000001E-2</v>
      </c>
      <c r="O35" s="3">
        <f t="shared" si="12"/>
        <v>9.6000000000000002E-2</v>
      </c>
      <c r="P35" s="3">
        <f t="shared" si="12"/>
        <v>9.7000000000000003E-2</v>
      </c>
      <c r="Q35" s="3">
        <f t="shared" si="12"/>
        <v>9.8000000000000004E-2</v>
      </c>
      <c r="R35" s="3">
        <f t="shared" si="12"/>
        <v>9.9000000000000005E-2</v>
      </c>
      <c r="S35" s="3">
        <f t="shared" si="12"/>
        <v>0.1</v>
      </c>
      <c r="T35" s="3">
        <f t="shared" si="12"/>
        <v>0.10100000000000001</v>
      </c>
      <c r="U35" s="3">
        <f t="shared" ref="U35:AP35" si="13">T37</f>
        <v>0.10200000000000001</v>
      </c>
      <c r="V35" s="3">
        <f t="shared" si="13"/>
        <v>0.10300000000000001</v>
      </c>
      <c r="W35" s="3">
        <f t="shared" si="13"/>
        <v>0.10400000000000001</v>
      </c>
      <c r="X35" s="3">
        <f t="shared" si="13"/>
        <v>0.10500000000000001</v>
      </c>
      <c r="Y35" s="3">
        <f t="shared" si="13"/>
        <v>0.10600000000000001</v>
      </c>
      <c r="Z35" s="3">
        <f t="shared" si="13"/>
        <v>0.10700000000000001</v>
      </c>
      <c r="AA35" s="3">
        <f t="shared" si="13"/>
        <v>0.10800000000000001</v>
      </c>
      <c r="AB35" s="3">
        <f t="shared" si="13"/>
        <v>0.10900000000000001</v>
      </c>
      <c r="AC35" s="3">
        <f t="shared" si="13"/>
        <v>0.11000000000000001</v>
      </c>
      <c r="AD35" s="3">
        <f t="shared" si="13"/>
        <v>0.11100000000000002</v>
      </c>
      <c r="AE35" s="3">
        <f t="shared" si="13"/>
        <v>0.11200000000000002</v>
      </c>
      <c r="AF35" s="3">
        <f t="shared" si="13"/>
        <v>0.11300000000000002</v>
      </c>
      <c r="AG35" s="3">
        <f t="shared" si="13"/>
        <v>0.11400000000000002</v>
      </c>
      <c r="AH35" s="3">
        <f t="shared" si="13"/>
        <v>0.11500000000000002</v>
      </c>
      <c r="AI35" s="3">
        <f t="shared" si="13"/>
        <v>0.11600000000000002</v>
      </c>
      <c r="AJ35" s="3">
        <f t="shared" si="13"/>
        <v>0.11700000000000002</v>
      </c>
      <c r="AK35" s="3">
        <f t="shared" si="13"/>
        <v>0.11800000000000002</v>
      </c>
      <c r="AL35" s="9">
        <f t="shared" si="13"/>
        <v>0.11900000000000002</v>
      </c>
      <c r="AM35" s="9">
        <f t="shared" si="13"/>
        <v>0.12000000000000002</v>
      </c>
      <c r="AN35" s="9">
        <f t="shared" si="13"/>
        <v>0.12100000000000002</v>
      </c>
      <c r="AO35" s="9">
        <f t="shared" si="13"/>
        <v>0.12200000000000003</v>
      </c>
      <c r="AP35" s="9">
        <f t="shared" si="13"/>
        <v>0.12300000000000003</v>
      </c>
    </row>
    <row r="36" spans="2:42" x14ac:dyDescent="0.2">
      <c r="B36" s="3" t="s">
        <v>207</v>
      </c>
      <c r="D36" s="3" t="s">
        <v>136</v>
      </c>
      <c r="E36" s="3" t="s">
        <v>89</v>
      </c>
      <c r="J36" s="3">
        <v>1E-3</v>
      </c>
      <c r="K36" s="3">
        <f>J36</f>
        <v>1E-3</v>
      </c>
      <c r="L36" s="3">
        <f t="shared" ref="L36:T36" si="14">K36</f>
        <v>1E-3</v>
      </c>
      <c r="M36" s="3">
        <f t="shared" si="14"/>
        <v>1E-3</v>
      </c>
      <c r="N36" s="3">
        <f t="shared" si="14"/>
        <v>1E-3</v>
      </c>
      <c r="O36" s="3">
        <f t="shared" si="14"/>
        <v>1E-3</v>
      </c>
      <c r="P36" s="3">
        <f t="shared" si="14"/>
        <v>1E-3</v>
      </c>
      <c r="Q36" s="3">
        <f t="shared" si="14"/>
        <v>1E-3</v>
      </c>
      <c r="R36" s="3">
        <f t="shared" si="14"/>
        <v>1E-3</v>
      </c>
      <c r="S36" s="3">
        <f t="shared" si="14"/>
        <v>1E-3</v>
      </c>
      <c r="T36" s="3">
        <f t="shared" si="14"/>
        <v>1E-3</v>
      </c>
      <c r="U36" s="3">
        <f t="shared" ref="U36:AP36" si="15">T36</f>
        <v>1E-3</v>
      </c>
      <c r="V36" s="3">
        <f t="shared" si="15"/>
        <v>1E-3</v>
      </c>
      <c r="W36" s="3">
        <f t="shared" si="15"/>
        <v>1E-3</v>
      </c>
      <c r="X36" s="3">
        <f t="shared" si="15"/>
        <v>1E-3</v>
      </c>
      <c r="Y36" s="3">
        <f t="shared" si="15"/>
        <v>1E-3</v>
      </c>
      <c r="Z36" s="3">
        <f t="shared" si="15"/>
        <v>1E-3</v>
      </c>
      <c r="AA36" s="3">
        <f t="shared" si="15"/>
        <v>1E-3</v>
      </c>
      <c r="AB36" s="3">
        <f t="shared" si="15"/>
        <v>1E-3</v>
      </c>
      <c r="AC36" s="3">
        <f t="shared" si="15"/>
        <v>1E-3</v>
      </c>
      <c r="AD36" s="3">
        <f t="shared" si="15"/>
        <v>1E-3</v>
      </c>
      <c r="AE36" s="3">
        <f t="shared" si="15"/>
        <v>1E-3</v>
      </c>
      <c r="AF36" s="3">
        <f t="shared" si="15"/>
        <v>1E-3</v>
      </c>
      <c r="AG36" s="3">
        <f t="shared" si="15"/>
        <v>1E-3</v>
      </c>
      <c r="AH36" s="3">
        <f t="shared" si="15"/>
        <v>1E-3</v>
      </c>
      <c r="AI36" s="3">
        <f t="shared" si="15"/>
        <v>1E-3</v>
      </c>
      <c r="AJ36" s="3">
        <f t="shared" si="15"/>
        <v>1E-3</v>
      </c>
      <c r="AK36" s="3">
        <f t="shared" si="15"/>
        <v>1E-3</v>
      </c>
      <c r="AL36" s="9">
        <f t="shared" si="15"/>
        <v>1E-3</v>
      </c>
      <c r="AM36" s="9">
        <f t="shared" si="15"/>
        <v>1E-3</v>
      </c>
      <c r="AN36" s="9">
        <f t="shared" si="15"/>
        <v>1E-3</v>
      </c>
      <c r="AO36" s="9">
        <f t="shared" si="15"/>
        <v>1E-3</v>
      </c>
      <c r="AP36" s="9">
        <f t="shared" si="15"/>
        <v>1E-3</v>
      </c>
    </row>
    <row r="37" spans="2:42" x14ac:dyDescent="0.2">
      <c r="B37" s="3" t="s">
        <v>208</v>
      </c>
      <c r="D37" s="3" t="s">
        <v>209</v>
      </c>
      <c r="J37" s="3">
        <f>J36+J35</f>
        <v>9.1999999999999998E-2</v>
      </c>
      <c r="K37" s="3">
        <f>K36+K35</f>
        <v>9.2999999999999999E-2</v>
      </c>
      <c r="L37" s="3">
        <f t="shared" ref="L37:T37" si="16">L36+L35</f>
        <v>9.4E-2</v>
      </c>
      <c r="M37" s="3">
        <f t="shared" si="16"/>
        <v>9.5000000000000001E-2</v>
      </c>
      <c r="N37" s="3">
        <f t="shared" si="16"/>
        <v>9.6000000000000002E-2</v>
      </c>
      <c r="O37" s="3">
        <f t="shared" si="16"/>
        <v>9.7000000000000003E-2</v>
      </c>
      <c r="P37" s="3">
        <f t="shared" si="16"/>
        <v>9.8000000000000004E-2</v>
      </c>
      <c r="Q37" s="3">
        <f t="shared" si="16"/>
        <v>9.9000000000000005E-2</v>
      </c>
      <c r="R37" s="3">
        <f t="shared" si="16"/>
        <v>0.1</v>
      </c>
      <c r="S37" s="3">
        <f t="shared" si="16"/>
        <v>0.10100000000000001</v>
      </c>
      <c r="T37" s="3">
        <f t="shared" si="16"/>
        <v>0.10200000000000001</v>
      </c>
      <c r="U37" s="3">
        <f t="shared" ref="U37:AP37" si="17">U36+U35</f>
        <v>0.10300000000000001</v>
      </c>
      <c r="V37" s="3">
        <f t="shared" si="17"/>
        <v>0.10400000000000001</v>
      </c>
      <c r="W37" s="3">
        <f t="shared" si="17"/>
        <v>0.10500000000000001</v>
      </c>
      <c r="X37" s="3">
        <f t="shared" si="17"/>
        <v>0.10600000000000001</v>
      </c>
      <c r="Y37" s="3">
        <f t="shared" si="17"/>
        <v>0.10700000000000001</v>
      </c>
      <c r="Z37" s="3">
        <f t="shared" si="17"/>
        <v>0.10800000000000001</v>
      </c>
      <c r="AA37" s="3">
        <f t="shared" si="17"/>
        <v>0.10900000000000001</v>
      </c>
      <c r="AB37" s="3">
        <f t="shared" si="17"/>
        <v>0.11000000000000001</v>
      </c>
      <c r="AC37" s="3">
        <f t="shared" si="17"/>
        <v>0.11100000000000002</v>
      </c>
      <c r="AD37" s="3">
        <f t="shared" si="17"/>
        <v>0.11200000000000002</v>
      </c>
      <c r="AE37" s="3">
        <f t="shared" si="17"/>
        <v>0.11300000000000002</v>
      </c>
      <c r="AF37" s="3">
        <f t="shared" si="17"/>
        <v>0.11400000000000002</v>
      </c>
      <c r="AG37" s="3">
        <f t="shared" si="17"/>
        <v>0.11500000000000002</v>
      </c>
      <c r="AH37" s="3">
        <f t="shared" si="17"/>
        <v>0.11600000000000002</v>
      </c>
      <c r="AI37" s="3">
        <f t="shared" si="17"/>
        <v>0.11700000000000002</v>
      </c>
      <c r="AJ37" s="3">
        <f t="shared" si="17"/>
        <v>0.11800000000000002</v>
      </c>
      <c r="AK37" s="3">
        <f t="shared" si="17"/>
        <v>0.11900000000000002</v>
      </c>
      <c r="AL37" s="9">
        <f t="shared" si="17"/>
        <v>0.12000000000000002</v>
      </c>
      <c r="AM37" s="9">
        <f t="shared" si="17"/>
        <v>0.12100000000000002</v>
      </c>
      <c r="AN37" s="9">
        <f t="shared" si="17"/>
        <v>0.12200000000000003</v>
      </c>
      <c r="AO37" s="9">
        <f t="shared" si="17"/>
        <v>0.12300000000000003</v>
      </c>
      <c r="AP37" s="9">
        <f t="shared" si="17"/>
        <v>0.12400000000000003</v>
      </c>
    </row>
    <row r="38" spans="2:42" x14ac:dyDescent="0.2">
      <c r="B38" s="3" t="s">
        <v>210</v>
      </c>
    </row>
    <row r="39" spans="2:42" x14ac:dyDescent="0.2">
      <c r="B39" s="3" t="s">
        <v>211</v>
      </c>
      <c r="D39" s="3" t="s">
        <v>212</v>
      </c>
    </row>
    <row r="40" spans="2:42" x14ac:dyDescent="0.2">
      <c r="B40" s="3" t="s">
        <v>213</v>
      </c>
      <c r="D40" s="3" t="s">
        <v>214</v>
      </c>
    </row>
    <row r="41" spans="2:42" x14ac:dyDescent="0.2">
      <c r="B41" s="3" t="s">
        <v>215</v>
      </c>
    </row>
    <row r="42" spans="2:42" x14ac:dyDescent="0.2">
      <c r="B42" s="3" t="s">
        <v>216</v>
      </c>
    </row>
    <row r="43" spans="2:42" x14ac:dyDescent="0.2">
      <c r="B43" s="3" t="s">
        <v>217</v>
      </c>
      <c r="D43" s="3" t="s">
        <v>198</v>
      </c>
    </row>
    <row r="44" spans="2:42" x14ac:dyDescent="0.2">
      <c r="B44" s="3" t="s">
        <v>218</v>
      </c>
      <c r="J44" s="3">
        <v>132000</v>
      </c>
    </row>
    <row r="45" spans="2:42" x14ac:dyDescent="0.2">
      <c r="B45" s="3" t="s">
        <v>219</v>
      </c>
      <c r="J45" s="3">
        <v>198</v>
      </c>
    </row>
    <row r="46" spans="2:42" x14ac:dyDescent="0.2">
      <c r="B46" s="3" t="s">
        <v>220</v>
      </c>
      <c r="J46" s="14">
        <v>7.2499999999999995E-2</v>
      </c>
    </row>
    <row r="47" spans="2:42" x14ac:dyDescent="0.2">
      <c r="J47" s="15">
        <f>PMT(J46/12,J45,-J44)</f>
        <v>1144.8725235955826</v>
      </c>
    </row>
  </sheetData>
  <sheetProtection algorithmName="SHA-512" hashValue="zo9tFEpNzB7yNDUTAQxDhzmB/jhk7NHRSTrPtYDvzgK7QZk+uwGT8BfFKtlLQV+msow07i6Fnt8DCd4VIfRjCw==" saltValue="kENNmECsGTvXHLVXYsgbGw==" spinCount="100000" sheet="1" objects="1" scenarios="1"/>
  <hyperlinks>
    <hyperlink ref="K3" r:id="rId1" xr:uid="{8F7B3422-7B33-7C41-A56D-8CA56424E5FD}"/>
    <hyperlink ref="K2" r:id="rId2" xr:uid="{8C17B088-559B-EA42-9EE1-EFAB450989AD}"/>
    <hyperlink ref="K4" r:id="rId3" xr:uid="{97A9208C-8602-B44E-B7E1-02B4C4D39799}"/>
    <hyperlink ref="K9" r:id="rId4" xr:uid="{3843B956-7C07-654F-9363-EE153CEC2319}"/>
    <hyperlink ref="K10" r:id="rId5" xr:uid="{0296D8B5-2B54-164B-AEDD-7747705C1335}"/>
    <hyperlink ref="K11" r:id="rId6" xr:uid="{4692CFA3-10FA-5047-B861-25A8C2D2A742}"/>
    <hyperlink ref="K7" r:id="rId7" xr:uid="{C4AB8B58-B90A-7143-9761-526ADE2225BD}"/>
    <hyperlink ref="K8" r:id="rId8" xr:uid="{2A8EA136-954B-3648-9F42-7BA7A8B66EEA}"/>
    <hyperlink ref="K12" r:id="rId9" xr:uid="{119A02B9-ABD1-1544-8BC8-756C52FBA79B}"/>
    <hyperlink ref="K14" r:id="rId10" xr:uid="{B2B54D23-BE77-A548-8F0C-0D13D847ED76}"/>
  </hyperlink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E3672-2901-4A49-A4C1-37F33005DCA6}">
  <dimension ref="A3:AF87"/>
  <sheetViews>
    <sheetView zoomScale="40" zoomScaleNormal="43" workbookViewId="0">
      <selection activeCell="A14" sqref="A1:XFD1048576"/>
    </sheetView>
  </sheetViews>
  <sheetFormatPr baseColWidth="10" defaultRowHeight="16" x14ac:dyDescent="0.2"/>
  <cols>
    <col min="1" max="1" width="10.83203125" style="53"/>
    <col min="2" max="2" width="11.5" style="53" bestFit="1" customWidth="1"/>
    <col min="3" max="3" width="12" style="53" bestFit="1" customWidth="1"/>
    <col min="4" max="4" width="11.6640625" style="53" customWidth="1"/>
    <col min="5" max="6" width="10.83203125" style="53"/>
    <col min="7" max="7" width="17.83203125" style="53" customWidth="1"/>
    <col min="8" max="9" width="13.6640625" style="53" bestFit="1" customWidth="1"/>
    <col min="10" max="10" width="13.33203125" style="53" customWidth="1"/>
    <col min="11" max="11" width="14.33203125" style="53" customWidth="1"/>
    <col min="12" max="12" width="15" style="53" customWidth="1"/>
    <col min="13" max="13" width="13.6640625" style="53" customWidth="1"/>
    <col min="14" max="14" width="14.6640625" style="53" customWidth="1"/>
    <col min="15" max="15" width="13" style="53" customWidth="1"/>
    <col min="16" max="16" width="13.6640625" style="53" customWidth="1"/>
    <col min="17" max="17" width="13.5" style="53" customWidth="1"/>
    <col min="18" max="18" width="12.83203125" style="53" customWidth="1"/>
    <col min="19" max="19" width="12.1640625" style="53" customWidth="1"/>
    <col min="20" max="20" width="12.5" style="53" customWidth="1"/>
    <col min="21" max="21" width="13.33203125" style="53" customWidth="1"/>
    <col min="22" max="22" width="12.83203125" style="53" customWidth="1"/>
    <col min="23" max="32" width="13.5" style="53" bestFit="1" customWidth="1"/>
    <col min="33" max="16384" width="10.83203125" style="53"/>
  </cols>
  <sheetData>
    <row r="3" spans="3:32" x14ac:dyDescent="0.2">
      <c r="G3" s="53" t="s">
        <v>54</v>
      </c>
      <c r="H3" s="59">
        <f>Data8!C42</f>
        <v>0.18</v>
      </c>
    </row>
    <row r="4" spans="3:32" x14ac:dyDescent="0.2">
      <c r="C4" s="53" t="s">
        <v>77</v>
      </c>
    </row>
    <row r="5" spans="3:32" x14ac:dyDescent="0.2">
      <c r="C5" s="53" t="str">
        <f>Data8!C41</f>
        <v>Tax Free</v>
      </c>
    </row>
    <row r="6" spans="3:32" x14ac:dyDescent="0.2">
      <c r="C6" s="97">
        <f>IF(C5=G8,K8,IF(C5=G9,K9,IF(C5=G10,K10,K11)))</f>
        <v>500000</v>
      </c>
      <c r="D6" s="97"/>
      <c r="G6" s="53" t="s">
        <v>66</v>
      </c>
    </row>
    <row r="7" spans="3:32" x14ac:dyDescent="0.2">
      <c r="C7" s="97">
        <f>IF(C5=G8,L8,IF(C5=G9,L9,IF(C5=G10,L10,L11)))</f>
        <v>46903.448835492134</v>
      </c>
      <c r="D7" s="97"/>
    </row>
    <row r="8" spans="3:32" x14ac:dyDescent="0.2">
      <c r="C8" s="97">
        <f>IF(C5=G8,M8,IF(C5=G9,M9,IF(C5=G10,M10,M11)))</f>
        <v>0</v>
      </c>
      <c r="D8" s="97"/>
      <c r="G8" s="53" t="s">
        <v>67</v>
      </c>
      <c r="H8" s="53">
        <v>40000</v>
      </c>
      <c r="I8" s="59">
        <v>0.4</v>
      </c>
      <c r="J8" s="59">
        <f>H3</f>
        <v>0.18</v>
      </c>
      <c r="K8" s="57">
        <f>H27</f>
        <v>500000</v>
      </c>
      <c r="L8" s="57">
        <f>I28</f>
        <v>46406.400519336697</v>
      </c>
      <c r="M8" s="84">
        <f>IF(N8&gt;0,N8,0)</f>
        <v>497.04831615543367</v>
      </c>
      <c r="N8" s="57">
        <f>H28</f>
        <v>497.04831615543367</v>
      </c>
    </row>
    <row r="9" spans="3:32" x14ac:dyDescent="0.2">
      <c r="G9" s="53" t="s">
        <v>68</v>
      </c>
      <c r="H9" s="59">
        <v>0.3</v>
      </c>
      <c r="I9" s="59">
        <v>0.4</v>
      </c>
      <c r="J9" s="59">
        <f>I9*H9</f>
        <v>0.12</v>
      </c>
      <c r="K9" s="84">
        <f>H50</f>
        <v>500000</v>
      </c>
      <c r="L9" s="84">
        <f>I51</f>
        <v>41275.03497523308</v>
      </c>
      <c r="M9" s="84">
        <f>H51</f>
        <v>5628.4138602590556</v>
      </c>
    </row>
    <row r="10" spans="3:32" x14ac:dyDescent="0.2">
      <c r="G10" s="53" t="s">
        <v>69</v>
      </c>
      <c r="H10" s="53">
        <v>33000</v>
      </c>
      <c r="K10" s="84">
        <f>H68</f>
        <v>500000</v>
      </c>
      <c r="L10" s="84">
        <f>I69</f>
        <v>46903.448835492134</v>
      </c>
      <c r="M10" s="53">
        <v>0</v>
      </c>
    </row>
    <row r="11" spans="3:32" x14ac:dyDescent="0.2">
      <c r="G11" s="53" t="s">
        <v>70</v>
      </c>
      <c r="H11" s="53">
        <v>23800</v>
      </c>
      <c r="K11" s="84">
        <f>H86</f>
        <v>500000</v>
      </c>
      <c r="L11" s="84">
        <f>I87</f>
        <v>28058.392207946643</v>
      </c>
      <c r="M11" s="84">
        <f>IF(N11&gt;0,N11,0)</f>
        <v>934.76902125658</v>
      </c>
      <c r="N11" s="84">
        <f>H87</f>
        <v>934.76902125658</v>
      </c>
    </row>
    <row r="13" spans="3:32" x14ac:dyDescent="0.2">
      <c r="F13" s="53" t="s">
        <v>75</v>
      </c>
      <c r="H13" s="53">
        <v>1</v>
      </c>
      <c r="I13" s="53">
        <v>2</v>
      </c>
      <c r="J13" s="53">
        <v>3</v>
      </c>
      <c r="K13" s="53">
        <v>4</v>
      </c>
      <c r="L13" s="53">
        <v>5</v>
      </c>
      <c r="M13" s="53">
        <v>6</v>
      </c>
      <c r="N13" s="53">
        <v>7</v>
      </c>
      <c r="O13" s="53">
        <v>8</v>
      </c>
      <c r="P13" s="53">
        <v>9</v>
      </c>
      <c r="Q13" s="53">
        <v>10</v>
      </c>
      <c r="R13" s="53">
        <v>11</v>
      </c>
      <c r="S13" s="53">
        <v>12</v>
      </c>
      <c r="T13" s="53">
        <v>13</v>
      </c>
      <c r="U13" s="53">
        <v>14</v>
      </c>
      <c r="V13" s="53">
        <v>15</v>
      </c>
      <c r="W13" s="53">
        <v>16</v>
      </c>
      <c r="X13" s="53">
        <v>17</v>
      </c>
      <c r="Y13" s="53">
        <v>18</v>
      </c>
      <c r="Z13" s="53">
        <v>19</v>
      </c>
      <c r="AA13" s="53">
        <v>20</v>
      </c>
      <c r="AB13" s="53">
        <v>21</v>
      </c>
      <c r="AC13" s="53">
        <v>22</v>
      </c>
      <c r="AD13" s="53">
        <v>23</v>
      </c>
      <c r="AE13" s="53">
        <v>24</v>
      </c>
      <c r="AF13" s="53">
        <v>25</v>
      </c>
    </row>
    <row r="14" spans="3:32" x14ac:dyDescent="0.2">
      <c r="G14" s="53" t="s">
        <v>61</v>
      </c>
      <c r="H14" s="53">
        <f>$C$15</f>
        <v>0</v>
      </c>
      <c r="I14" s="53">
        <f>H14*(1+H19)</f>
        <v>0</v>
      </c>
      <c r="J14" s="53">
        <f>I14*(1+I19)</f>
        <v>0</v>
      </c>
      <c r="K14" s="53">
        <f>J14*(1+J19)</f>
        <v>0</v>
      </c>
      <c r="L14" s="53">
        <f>K14*(1+K19)</f>
        <v>0</v>
      </c>
      <c r="M14" s="53">
        <f>L14*(1+L19)</f>
        <v>0</v>
      </c>
      <c r="N14" s="53">
        <f t="shared" ref="N14:V14" si="0">M14*(1+M19)</f>
        <v>0</v>
      </c>
      <c r="O14" s="53">
        <f t="shared" si="0"/>
        <v>0</v>
      </c>
      <c r="P14" s="53">
        <f t="shared" si="0"/>
        <v>0</v>
      </c>
      <c r="Q14" s="53">
        <f t="shared" si="0"/>
        <v>0</v>
      </c>
      <c r="R14" s="53">
        <f t="shared" si="0"/>
        <v>0</v>
      </c>
      <c r="S14" s="53">
        <f t="shared" si="0"/>
        <v>0</v>
      </c>
      <c r="T14" s="53">
        <f t="shared" si="0"/>
        <v>0</v>
      </c>
      <c r="U14" s="53">
        <f t="shared" si="0"/>
        <v>0</v>
      </c>
      <c r="V14" s="53">
        <f t="shared" si="0"/>
        <v>0</v>
      </c>
      <c r="W14" s="53">
        <f t="shared" ref="W14:AF14" si="1">V14*(1+V19)</f>
        <v>0</v>
      </c>
      <c r="X14" s="53">
        <f t="shared" si="1"/>
        <v>0</v>
      </c>
      <c r="Y14" s="53">
        <f t="shared" si="1"/>
        <v>0</v>
      </c>
      <c r="Z14" s="53">
        <f t="shared" si="1"/>
        <v>0</v>
      </c>
      <c r="AA14" s="53">
        <f t="shared" si="1"/>
        <v>0</v>
      </c>
      <c r="AB14" s="53">
        <f t="shared" si="1"/>
        <v>0</v>
      </c>
      <c r="AC14" s="53">
        <f t="shared" si="1"/>
        <v>0</v>
      </c>
      <c r="AD14" s="53">
        <f t="shared" si="1"/>
        <v>0</v>
      </c>
      <c r="AE14" s="53">
        <f t="shared" si="1"/>
        <v>0</v>
      </c>
      <c r="AF14" s="53">
        <f t="shared" si="1"/>
        <v>0</v>
      </c>
    </row>
    <row r="15" spans="3:32" x14ac:dyDescent="0.2">
      <c r="C15" s="53">
        <f>Data8!C35</f>
        <v>0</v>
      </c>
      <c r="G15" s="53" t="s">
        <v>62</v>
      </c>
      <c r="H15" s="53">
        <f>$C$16</f>
        <v>500000</v>
      </c>
      <c r="I15" s="58">
        <f>H16</f>
        <v>546903.44883549213</v>
      </c>
      <c r="J15" s="58">
        <f t="shared" ref="J15:V15" si="2">I16</f>
        <v>598206.76469631155</v>
      </c>
      <c r="K15" s="58">
        <f t="shared" si="2"/>
        <v>654322.68545826897</v>
      </c>
      <c r="L15" s="58">
        <f t="shared" si="2"/>
        <v>715702.66665685643</v>
      </c>
      <c r="M15" s="58">
        <f t="shared" si="2"/>
        <v>782840.51347078674</v>
      </c>
      <c r="N15" s="58">
        <f t="shared" si="2"/>
        <v>856276.35341064166</v>
      </c>
      <c r="O15" s="58">
        <f t="shared" si="2"/>
        <v>936600.98167311726</v>
      </c>
      <c r="P15" s="58">
        <f t="shared" si="2"/>
        <v>1024460.6141194708</v>
      </c>
      <c r="Q15" s="58">
        <f t="shared" si="2"/>
        <v>1120562.0861161298</v>
      </c>
      <c r="R15" s="58">
        <f t="shared" si="2"/>
        <v>1225678.5390624101</v>
      </c>
      <c r="S15" s="58">
        <f t="shared" si="2"/>
        <v>1340655.6403537591</v>
      </c>
      <c r="T15" s="58">
        <f t="shared" si="2"/>
        <v>1466418.3868204521</v>
      </c>
      <c r="U15" s="58">
        <f t="shared" si="2"/>
        <v>1603978.546375768</v>
      </c>
      <c r="V15" s="58">
        <f t="shared" si="2"/>
        <v>1754442.7977420937</v>
      </c>
      <c r="W15" s="58">
        <f t="shared" ref="W15:AF15" si="3">V16</f>
        <v>1919021.6337394817</v>
      </c>
      <c r="X15" s="58">
        <f t="shared" si="3"/>
        <v>2099039.0997640863</v>
      </c>
      <c r="Y15" s="58">
        <f t="shared" si="3"/>
        <v>2295943.4458030509</v>
      </c>
      <c r="Z15" s="58">
        <f t="shared" si="3"/>
        <v>2511318.7776818648</v>
      </c>
      <c r="AA15" s="58">
        <f t="shared" si="3"/>
        <v>2746897.8012790889</v>
      </c>
      <c r="AB15" s="58">
        <f t="shared" si="3"/>
        <v>3004575.7622363283</v>
      </c>
      <c r="AC15" s="58">
        <f t="shared" si="3"/>
        <v>3286425.6933091511</v>
      </c>
      <c r="AD15" s="58">
        <f t="shared" si="3"/>
        <v>3594715.0920246961</v>
      </c>
      <c r="AE15" s="58">
        <f t="shared" si="3"/>
        <v>3931924.1628185995</v>
      </c>
      <c r="AF15" s="58">
        <f t="shared" si="3"/>
        <v>4300765.7704101941</v>
      </c>
    </row>
    <row r="16" spans="3:32" x14ac:dyDescent="0.2">
      <c r="C16" s="53">
        <f>Data8!C36</f>
        <v>500000</v>
      </c>
      <c r="G16" s="53" t="s">
        <v>40</v>
      </c>
      <c r="H16" s="58">
        <f t="shared" ref="H16:V16" si="4">FV((H17-H18)/12,12,-H14,-H15)</f>
        <v>546903.44883549213</v>
      </c>
      <c r="I16" s="58">
        <f t="shared" si="4"/>
        <v>598206.76469631155</v>
      </c>
      <c r="J16" s="58">
        <f t="shared" si="4"/>
        <v>654322.68545826897</v>
      </c>
      <c r="K16" s="58">
        <f t="shared" si="4"/>
        <v>715702.66665685643</v>
      </c>
      <c r="L16" s="58">
        <f t="shared" si="4"/>
        <v>782840.51347078674</v>
      </c>
      <c r="M16" s="58">
        <f t="shared" si="4"/>
        <v>856276.35341064166</v>
      </c>
      <c r="N16" s="58">
        <f t="shared" si="4"/>
        <v>936600.98167311726</v>
      </c>
      <c r="O16" s="58">
        <f t="shared" si="4"/>
        <v>1024460.6141194708</v>
      </c>
      <c r="P16" s="58">
        <f t="shared" si="4"/>
        <v>1120562.0861161298</v>
      </c>
      <c r="Q16" s="58">
        <f t="shared" si="4"/>
        <v>1225678.5390624101</v>
      </c>
      <c r="R16" s="58">
        <f t="shared" si="4"/>
        <v>1340655.6403537591</v>
      </c>
      <c r="S16" s="58">
        <f t="shared" si="4"/>
        <v>1466418.3868204521</v>
      </c>
      <c r="T16" s="58">
        <f t="shared" si="4"/>
        <v>1603978.546375768</v>
      </c>
      <c r="U16" s="58">
        <f t="shared" si="4"/>
        <v>1754442.7977420937</v>
      </c>
      <c r="V16" s="58">
        <f t="shared" si="4"/>
        <v>1919021.6337394817</v>
      </c>
      <c r="W16" s="58">
        <f t="shared" ref="W16:AF16" si="5">FV((W17-W18)/12,12,-W14,-W15)</f>
        <v>2099039.0997640863</v>
      </c>
      <c r="X16" s="58">
        <f t="shared" si="5"/>
        <v>2295943.4458030509</v>
      </c>
      <c r="Y16" s="58">
        <f t="shared" si="5"/>
        <v>2511318.7776818648</v>
      </c>
      <c r="Z16" s="58">
        <f t="shared" si="5"/>
        <v>2746897.8012790889</v>
      </c>
      <c r="AA16" s="58">
        <f t="shared" si="5"/>
        <v>3004575.7622363283</v>
      </c>
      <c r="AB16" s="58">
        <f t="shared" si="5"/>
        <v>3286425.6933091511</v>
      </c>
      <c r="AC16" s="58">
        <f t="shared" si="5"/>
        <v>3594715.0920246961</v>
      </c>
      <c r="AD16" s="58">
        <f t="shared" si="5"/>
        <v>3931924.1628185995</v>
      </c>
      <c r="AE16" s="58">
        <f t="shared" si="5"/>
        <v>4300765.7704101941</v>
      </c>
      <c r="AF16" s="58">
        <f t="shared" si="5"/>
        <v>4704207.2649419345</v>
      </c>
    </row>
    <row r="17" spans="1:32" x14ac:dyDescent="0.2">
      <c r="C17" s="53">
        <f>Data8!C37</f>
        <v>1</v>
      </c>
      <c r="G17" s="53" t="s">
        <v>71</v>
      </c>
      <c r="H17" s="59">
        <f>$C$18</f>
        <v>0.09</v>
      </c>
      <c r="I17" s="59">
        <f t="shared" ref="I17:M19" si="6">H17</f>
        <v>0.09</v>
      </c>
      <c r="J17" s="59">
        <f t="shared" si="6"/>
        <v>0.09</v>
      </c>
      <c r="K17" s="59">
        <f t="shared" si="6"/>
        <v>0.09</v>
      </c>
      <c r="L17" s="59">
        <f t="shared" si="6"/>
        <v>0.09</v>
      </c>
      <c r="M17" s="59">
        <f t="shared" si="6"/>
        <v>0.09</v>
      </c>
      <c r="N17" s="59">
        <f t="shared" ref="N17:V17" si="7">M17</f>
        <v>0.09</v>
      </c>
      <c r="O17" s="59">
        <f t="shared" si="7"/>
        <v>0.09</v>
      </c>
      <c r="P17" s="59">
        <f t="shared" si="7"/>
        <v>0.09</v>
      </c>
      <c r="Q17" s="59">
        <f t="shared" si="7"/>
        <v>0.09</v>
      </c>
      <c r="R17" s="59">
        <f t="shared" si="7"/>
        <v>0.09</v>
      </c>
      <c r="S17" s="59">
        <f t="shared" si="7"/>
        <v>0.09</v>
      </c>
      <c r="T17" s="59">
        <f t="shared" si="7"/>
        <v>0.09</v>
      </c>
      <c r="U17" s="59">
        <f t="shared" si="7"/>
        <v>0.09</v>
      </c>
      <c r="V17" s="59">
        <f t="shared" si="7"/>
        <v>0.09</v>
      </c>
      <c r="W17" s="59">
        <f t="shared" ref="W17:AF17" si="8">V17</f>
        <v>0.09</v>
      </c>
      <c r="X17" s="59">
        <f t="shared" si="8"/>
        <v>0.09</v>
      </c>
      <c r="Y17" s="59">
        <f t="shared" si="8"/>
        <v>0.09</v>
      </c>
      <c r="Z17" s="59">
        <f t="shared" si="8"/>
        <v>0.09</v>
      </c>
      <c r="AA17" s="59">
        <f t="shared" si="8"/>
        <v>0.09</v>
      </c>
      <c r="AB17" s="59">
        <f t="shared" si="8"/>
        <v>0.09</v>
      </c>
      <c r="AC17" s="59">
        <f t="shared" si="8"/>
        <v>0.09</v>
      </c>
      <c r="AD17" s="59">
        <f t="shared" si="8"/>
        <v>0.09</v>
      </c>
      <c r="AE17" s="59">
        <f t="shared" si="8"/>
        <v>0.09</v>
      </c>
      <c r="AF17" s="59">
        <f t="shared" si="8"/>
        <v>0.09</v>
      </c>
    </row>
    <row r="18" spans="1:32" x14ac:dyDescent="0.2">
      <c r="C18" s="72">
        <f>Data8!C38</f>
        <v>0.09</v>
      </c>
      <c r="D18" s="72"/>
      <c r="G18" s="53" t="s">
        <v>72</v>
      </c>
      <c r="H18" s="59">
        <f>$C$19</f>
        <v>0</v>
      </c>
      <c r="I18" s="62">
        <f t="shared" si="6"/>
        <v>0</v>
      </c>
      <c r="J18" s="62">
        <f t="shared" si="6"/>
        <v>0</v>
      </c>
      <c r="K18" s="62">
        <f t="shared" si="6"/>
        <v>0</v>
      </c>
      <c r="L18" s="62">
        <f t="shared" si="6"/>
        <v>0</v>
      </c>
      <c r="M18" s="62">
        <f t="shared" si="6"/>
        <v>0</v>
      </c>
      <c r="N18" s="62">
        <f t="shared" ref="N18:V18" si="9">M18</f>
        <v>0</v>
      </c>
      <c r="O18" s="62">
        <f t="shared" si="9"/>
        <v>0</v>
      </c>
      <c r="P18" s="62">
        <f t="shared" si="9"/>
        <v>0</v>
      </c>
      <c r="Q18" s="62">
        <f t="shared" si="9"/>
        <v>0</v>
      </c>
      <c r="R18" s="62">
        <f t="shared" si="9"/>
        <v>0</v>
      </c>
      <c r="S18" s="62">
        <f t="shared" si="9"/>
        <v>0</v>
      </c>
      <c r="T18" s="62">
        <f t="shared" si="9"/>
        <v>0</v>
      </c>
      <c r="U18" s="62">
        <f t="shared" si="9"/>
        <v>0</v>
      </c>
      <c r="V18" s="62">
        <f t="shared" si="9"/>
        <v>0</v>
      </c>
      <c r="W18" s="62">
        <f t="shared" ref="W18:AF18" si="10">V18</f>
        <v>0</v>
      </c>
      <c r="X18" s="62">
        <f t="shared" si="10"/>
        <v>0</v>
      </c>
      <c r="Y18" s="62">
        <f t="shared" si="10"/>
        <v>0</v>
      </c>
      <c r="Z18" s="62">
        <f t="shared" si="10"/>
        <v>0</v>
      </c>
      <c r="AA18" s="62">
        <f t="shared" si="10"/>
        <v>0</v>
      </c>
      <c r="AB18" s="62">
        <f t="shared" si="10"/>
        <v>0</v>
      </c>
      <c r="AC18" s="62">
        <f t="shared" si="10"/>
        <v>0</v>
      </c>
      <c r="AD18" s="62">
        <f t="shared" si="10"/>
        <v>0</v>
      </c>
      <c r="AE18" s="62">
        <f t="shared" si="10"/>
        <v>0</v>
      </c>
      <c r="AF18" s="62">
        <f t="shared" si="10"/>
        <v>0</v>
      </c>
    </row>
    <row r="19" spans="1:32" x14ac:dyDescent="0.2">
      <c r="C19" s="72">
        <f>Data8!C39</f>
        <v>0</v>
      </c>
      <c r="D19" s="72"/>
      <c r="G19" s="53" t="s">
        <v>36</v>
      </c>
      <c r="H19" s="59">
        <f>$C$20</f>
        <v>0</v>
      </c>
      <c r="I19" s="59">
        <f t="shared" si="6"/>
        <v>0</v>
      </c>
      <c r="J19" s="59">
        <f t="shared" si="6"/>
        <v>0</v>
      </c>
      <c r="K19" s="59">
        <f t="shared" si="6"/>
        <v>0</v>
      </c>
      <c r="L19" s="59">
        <f t="shared" si="6"/>
        <v>0</v>
      </c>
      <c r="M19" s="59">
        <f t="shared" si="6"/>
        <v>0</v>
      </c>
      <c r="N19" s="59">
        <f t="shared" ref="N19:V19" si="11">M19</f>
        <v>0</v>
      </c>
      <c r="O19" s="59">
        <f t="shared" si="11"/>
        <v>0</v>
      </c>
      <c r="P19" s="59">
        <f t="shared" si="11"/>
        <v>0</v>
      </c>
      <c r="Q19" s="59">
        <f t="shared" si="11"/>
        <v>0</v>
      </c>
      <c r="R19" s="59">
        <f t="shared" si="11"/>
        <v>0</v>
      </c>
      <c r="S19" s="59">
        <f t="shared" si="11"/>
        <v>0</v>
      </c>
      <c r="T19" s="59">
        <f t="shared" si="11"/>
        <v>0</v>
      </c>
      <c r="U19" s="59">
        <f t="shared" si="11"/>
        <v>0</v>
      </c>
      <c r="V19" s="59">
        <f t="shared" si="11"/>
        <v>0</v>
      </c>
      <c r="W19" s="59">
        <f t="shared" ref="W19:AF19" si="12">V19</f>
        <v>0</v>
      </c>
      <c r="X19" s="59">
        <f t="shared" si="12"/>
        <v>0</v>
      </c>
      <c r="Y19" s="59">
        <f t="shared" si="12"/>
        <v>0</v>
      </c>
      <c r="Z19" s="59">
        <f t="shared" si="12"/>
        <v>0</v>
      </c>
      <c r="AA19" s="59">
        <f t="shared" si="12"/>
        <v>0</v>
      </c>
      <c r="AB19" s="59">
        <f t="shared" si="12"/>
        <v>0</v>
      </c>
      <c r="AC19" s="59">
        <f t="shared" si="12"/>
        <v>0</v>
      </c>
      <c r="AD19" s="59">
        <f t="shared" si="12"/>
        <v>0</v>
      </c>
      <c r="AE19" s="59">
        <f t="shared" si="12"/>
        <v>0</v>
      </c>
      <c r="AF19" s="59">
        <f t="shared" si="12"/>
        <v>0</v>
      </c>
    </row>
    <row r="20" spans="1:32" x14ac:dyDescent="0.2">
      <c r="C20" s="72">
        <f>Data8!C40</f>
        <v>0</v>
      </c>
      <c r="D20" s="72"/>
      <c r="G20" s="53" t="s">
        <v>73</v>
      </c>
      <c r="H20" s="53">
        <f>(H14*12)+H15</f>
        <v>500000</v>
      </c>
      <c r="I20" s="53">
        <f>H20+(I14*12)</f>
        <v>500000</v>
      </c>
      <c r="J20" s="53">
        <f>I20+(J14*12)</f>
        <v>500000</v>
      </c>
      <c r="K20" s="53">
        <f>J20+(K14*12)</f>
        <v>500000</v>
      </c>
      <c r="L20" s="53">
        <f>K20+(L14*12)</f>
        <v>500000</v>
      </c>
      <c r="M20" s="53">
        <f>L20+(M14*12)</f>
        <v>500000</v>
      </c>
      <c r="N20" s="53">
        <f t="shared" ref="N20:V20" si="13">M20+(N14*12)</f>
        <v>500000</v>
      </c>
      <c r="O20" s="53">
        <f t="shared" si="13"/>
        <v>500000</v>
      </c>
      <c r="P20" s="53">
        <f t="shared" si="13"/>
        <v>500000</v>
      </c>
      <c r="Q20" s="53">
        <f t="shared" si="13"/>
        <v>500000</v>
      </c>
      <c r="R20" s="53">
        <f t="shared" si="13"/>
        <v>500000</v>
      </c>
      <c r="S20" s="53">
        <f t="shared" si="13"/>
        <v>500000</v>
      </c>
      <c r="T20" s="53">
        <f t="shared" si="13"/>
        <v>500000</v>
      </c>
      <c r="U20" s="53">
        <f t="shared" si="13"/>
        <v>500000</v>
      </c>
      <c r="V20" s="53">
        <f t="shared" si="13"/>
        <v>500000</v>
      </c>
      <c r="W20" s="53">
        <f t="shared" ref="W20:AF20" si="14">V20+(W14*12)</f>
        <v>500000</v>
      </c>
      <c r="X20" s="53">
        <f t="shared" si="14"/>
        <v>500000</v>
      </c>
      <c r="Y20" s="53">
        <f t="shared" si="14"/>
        <v>500000</v>
      </c>
      <c r="Z20" s="53">
        <f t="shared" si="14"/>
        <v>500000</v>
      </c>
      <c r="AA20" s="53">
        <f t="shared" si="14"/>
        <v>500000</v>
      </c>
      <c r="AB20" s="53">
        <f t="shared" si="14"/>
        <v>500000</v>
      </c>
      <c r="AC20" s="53">
        <f t="shared" si="14"/>
        <v>500000</v>
      </c>
      <c r="AD20" s="53">
        <f t="shared" si="14"/>
        <v>500000</v>
      </c>
      <c r="AE20" s="53">
        <f t="shared" si="14"/>
        <v>500000</v>
      </c>
      <c r="AF20" s="53">
        <f t="shared" si="14"/>
        <v>500000</v>
      </c>
    </row>
    <row r="21" spans="1:32" x14ac:dyDescent="0.2">
      <c r="C21" s="53" t="str">
        <f>Data8!C41</f>
        <v>Tax Free</v>
      </c>
    </row>
    <row r="22" spans="1:32" x14ac:dyDescent="0.2">
      <c r="C22" s="53">
        <f>Data8!C42</f>
        <v>0.18</v>
      </c>
      <c r="G22" s="53" t="s">
        <v>74</v>
      </c>
      <c r="H22" s="58">
        <f t="shared" ref="H22:M22" si="15">H16-H20</f>
        <v>46903.448835492134</v>
      </c>
      <c r="I22" s="58">
        <f t="shared" si="15"/>
        <v>98206.764696311555</v>
      </c>
      <c r="J22" s="58">
        <f t="shared" si="15"/>
        <v>154322.68545826897</v>
      </c>
      <c r="K22" s="58">
        <f t="shared" si="15"/>
        <v>215702.66665685643</v>
      </c>
      <c r="L22" s="58">
        <f t="shared" si="15"/>
        <v>282840.51347078674</v>
      </c>
      <c r="M22" s="58">
        <f t="shared" si="15"/>
        <v>356276.35341064166</v>
      </c>
      <c r="N22" s="58">
        <f t="shared" ref="N22:V22" si="16">N16-N20</f>
        <v>436600.98167311726</v>
      </c>
      <c r="O22" s="58">
        <f t="shared" si="16"/>
        <v>524460.61411947082</v>
      </c>
      <c r="P22" s="58">
        <f t="shared" si="16"/>
        <v>620562.08611612977</v>
      </c>
      <c r="Q22" s="58">
        <f t="shared" si="16"/>
        <v>725678.53906241013</v>
      </c>
      <c r="R22" s="58">
        <f t="shared" si="16"/>
        <v>840655.64035375905</v>
      </c>
      <c r="S22" s="58">
        <f t="shared" si="16"/>
        <v>966418.38682045205</v>
      </c>
      <c r="T22" s="58">
        <f t="shared" si="16"/>
        <v>1103978.546375768</v>
      </c>
      <c r="U22" s="58">
        <f t="shared" si="16"/>
        <v>1254442.7977420937</v>
      </c>
      <c r="V22" s="58">
        <f t="shared" si="16"/>
        <v>1419021.6337394817</v>
      </c>
      <c r="W22" s="58">
        <f t="shared" ref="W22:AF22" si="17">W16-W20</f>
        <v>1599039.0997640863</v>
      </c>
      <c r="X22" s="58">
        <f t="shared" si="17"/>
        <v>1795943.4458030509</v>
      </c>
      <c r="Y22" s="58">
        <f t="shared" si="17"/>
        <v>2011318.7776818648</v>
      </c>
      <c r="Z22" s="58">
        <f t="shared" si="17"/>
        <v>2246897.8012790889</v>
      </c>
      <c r="AA22" s="58">
        <f t="shared" si="17"/>
        <v>2504575.7622363283</v>
      </c>
      <c r="AB22" s="58">
        <f t="shared" si="17"/>
        <v>2786425.6933091511</v>
      </c>
      <c r="AC22" s="58">
        <f t="shared" si="17"/>
        <v>3094715.0920246961</v>
      </c>
      <c r="AD22" s="58">
        <f t="shared" si="17"/>
        <v>3431924.1628185995</v>
      </c>
      <c r="AE22" s="58">
        <f t="shared" si="17"/>
        <v>3800765.7704101941</v>
      </c>
      <c r="AF22" s="58">
        <f t="shared" si="17"/>
        <v>4204207.2649419345</v>
      </c>
    </row>
    <row r="23" spans="1:32" x14ac:dyDescent="0.2">
      <c r="C23" s="53">
        <f>Data8!C43</f>
        <v>0</v>
      </c>
    </row>
    <row r="24" spans="1:32" x14ac:dyDescent="0.2">
      <c r="C24" s="53">
        <f>Data8!C44</f>
        <v>0</v>
      </c>
    </row>
    <row r="25" spans="1:32" x14ac:dyDescent="0.2">
      <c r="G25" s="53">
        <f>$C$17</f>
        <v>1</v>
      </c>
    </row>
    <row r="26" spans="1:32" x14ac:dyDescent="0.2">
      <c r="B26" s="53" t="str">
        <f>Data9!C29</f>
        <v>Bank</v>
      </c>
    </row>
    <row r="27" spans="1:32" x14ac:dyDescent="0.2">
      <c r="F27" s="53" t="s">
        <v>40</v>
      </c>
      <c r="G27" s="4">
        <f>HLOOKUP(G25,H13:V22,4)</f>
        <v>546903.44883549213</v>
      </c>
      <c r="H27" s="57">
        <f>G27-G28</f>
        <v>500000</v>
      </c>
    </row>
    <row r="28" spans="1:32" x14ac:dyDescent="0.2">
      <c r="F28" s="53" t="s">
        <v>74</v>
      </c>
      <c r="G28" s="4">
        <f>HLOOKUP(G25,H13:V22,10)</f>
        <v>46903.448835492134</v>
      </c>
      <c r="H28" s="4">
        <f>IF(((G28-H8)*I8*J8)&lt;0,0,((G28-H8)*I8*J8))</f>
        <v>497.04831615543367</v>
      </c>
      <c r="I28" s="57">
        <f>G28-H28</f>
        <v>46406.400519336697</v>
      </c>
    </row>
    <row r="31" spans="1:32" x14ac:dyDescent="0.2">
      <c r="B31" s="53" t="s">
        <v>240</v>
      </c>
      <c r="C31" s="53" t="s">
        <v>68</v>
      </c>
      <c r="D31" s="53" t="s">
        <v>69</v>
      </c>
      <c r="E31" s="53" t="s">
        <v>70</v>
      </c>
      <c r="F31" s="53" t="s">
        <v>76</v>
      </c>
      <c r="H31" s="53">
        <v>1</v>
      </c>
      <c r="I31" s="53">
        <v>2</v>
      </c>
      <c r="J31" s="53">
        <v>3</v>
      </c>
      <c r="K31" s="53">
        <v>4</v>
      </c>
      <c r="L31" s="53">
        <v>5</v>
      </c>
      <c r="M31" s="53">
        <v>6</v>
      </c>
      <c r="N31" s="53">
        <v>7</v>
      </c>
      <c r="O31" s="53">
        <v>8</v>
      </c>
      <c r="P31" s="53">
        <v>9</v>
      </c>
      <c r="Q31" s="53">
        <v>10</v>
      </c>
      <c r="R31" s="53">
        <v>11</v>
      </c>
      <c r="S31" s="53">
        <v>12</v>
      </c>
      <c r="T31" s="53">
        <v>13</v>
      </c>
      <c r="U31" s="53">
        <v>14</v>
      </c>
      <c r="V31" s="53">
        <v>15</v>
      </c>
    </row>
    <row r="32" spans="1:32" x14ac:dyDescent="0.2">
      <c r="A32" s="53" t="s">
        <v>239</v>
      </c>
      <c r="B32" s="57">
        <f>H28</f>
        <v>497.04831615543367</v>
      </c>
      <c r="C32" s="84">
        <f>H51</f>
        <v>5628.4138602590556</v>
      </c>
      <c r="G32" s="53" t="s">
        <v>61</v>
      </c>
      <c r="H32" s="53">
        <f>$C$15</f>
        <v>0</v>
      </c>
      <c r="I32" s="53">
        <f>H32*(1+H37)</f>
        <v>0</v>
      </c>
      <c r="J32" s="53">
        <f t="shared" ref="J32:V32" si="18">I32*(1+I37)</f>
        <v>0</v>
      </c>
      <c r="K32" s="53">
        <f t="shared" si="18"/>
        <v>0</v>
      </c>
      <c r="L32" s="53">
        <f t="shared" si="18"/>
        <v>0</v>
      </c>
      <c r="M32" s="53">
        <f t="shared" si="18"/>
        <v>0</v>
      </c>
      <c r="N32" s="53">
        <f t="shared" si="18"/>
        <v>0</v>
      </c>
      <c r="O32" s="53">
        <f t="shared" si="18"/>
        <v>0</v>
      </c>
      <c r="P32" s="53">
        <f t="shared" si="18"/>
        <v>0</v>
      </c>
      <c r="Q32" s="53">
        <f t="shared" si="18"/>
        <v>0</v>
      </c>
      <c r="R32" s="53">
        <f t="shared" si="18"/>
        <v>0</v>
      </c>
      <c r="S32" s="53">
        <f t="shared" si="18"/>
        <v>0</v>
      </c>
      <c r="T32" s="53">
        <f t="shared" si="18"/>
        <v>0</v>
      </c>
      <c r="U32" s="53">
        <f t="shared" si="18"/>
        <v>0</v>
      </c>
      <c r="V32" s="53">
        <f t="shared" si="18"/>
        <v>0</v>
      </c>
    </row>
    <row r="33" spans="1:22" x14ac:dyDescent="0.2">
      <c r="A33" s="53" t="s">
        <v>235</v>
      </c>
      <c r="B33" s="57">
        <f>I28</f>
        <v>46406.400519336697</v>
      </c>
      <c r="C33" s="84">
        <f>I51</f>
        <v>41275.03497523308</v>
      </c>
      <c r="D33" s="84">
        <f>I69</f>
        <v>46903.448835492134</v>
      </c>
      <c r="G33" s="53" t="s">
        <v>62</v>
      </c>
      <c r="H33" s="53">
        <f>$C$16</f>
        <v>500000</v>
      </c>
      <c r="I33" s="58">
        <f>H34</f>
        <v>546903.44883549213</v>
      </c>
      <c r="J33" s="58">
        <f t="shared" ref="J33:V33" si="19">I34</f>
        <v>598206.76469631155</v>
      </c>
      <c r="K33" s="58">
        <f t="shared" si="19"/>
        <v>654322.68545826897</v>
      </c>
      <c r="L33" s="58">
        <f t="shared" si="19"/>
        <v>715702.66665685643</v>
      </c>
      <c r="M33" s="58">
        <f t="shared" si="19"/>
        <v>782840.51347078674</v>
      </c>
      <c r="N33" s="58">
        <f t="shared" si="19"/>
        <v>856276.35341064166</v>
      </c>
      <c r="O33" s="58">
        <f t="shared" si="19"/>
        <v>936600.98167311726</v>
      </c>
      <c r="P33" s="58">
        <f t="shared" si="19"/>
        <v>1024460.6141194708</v>
      </c>
      <c r="Q33" s="58">
        <f t="shared" si="19"/>
        <v>1120562.0861161298</v>
      </c>
      <c r="R33" s="58">
        <f t="shared" si="19"/>
        <v>1225678.5390624101</v>
      </c>
      <c r="S33" s="58">
        <f t="shared" si="19"/>
        <v>1340655.6403537591</v>
      </c>
      <c r="T33" s="58">
        <f t="shared" si="19"/>
        <v>1466418.3868204521</v>
      </c>
      <c r="U33" s="58">
        <f t="shared" si="19"/>
        <v>1603978.546375768</v>
      </c>
      <c r="V33" s="58">
        <f t="shared" si="19"/>
        <v>1754442.7977420937</v>
      </c>
    </row>
    <row r="34" spans="1:22" x14ac:dyDescent="0.2">
      <c r="A34" s="53" t="s">
        <v>73</v>
      </c>
      <c r="B34" s="57">
        <f>H27</f>
        <v>500000</v>
      </c>
      <c r="C34" s="84">
        <f>H50</f>
        <v>500000</v>
      </c>
      <c r="D34" s="84">
        <f>H68</f>
        <v>500000</v>
      </c>
      <c r="G34" s="53" t="s">
        <v>40</v>
      </c>
      <c r="H34" s="58">
        <f t="shared" ref="H34:V34" si="20">FV((H35-H36)/12,12,-H32,-H33)</f>
        <v>546903.44883549213</v>
      </c>
      <c r="I34" s="58">
        <f t="shared" si="20"/>
        <v>598206.76469631155</v>
      </c>
      <c r="J34" s="58">
        <f t="shared" si="20"/>
        <v>654322.68545826897</v>
      </c>
      <c r="K34" s="58">
        <f t="shared" si="20"/>
        <v>715702.66665685643</v>
      </c>
      <c r="L34" s="58">
        <f t="shared" si="20"/>
        <v>782840.51347078674</v>
      </c>
      <c r="M34" s="58">
        <f t="shared" si="20"/>
        <v>856276.35341064166</v>
      </c>
      <c r="N34" s="58">
        <f t="shared" si="20"/>
        <v>936600.98167311726</v>
      </c>
      <c r="O34" s="58">
        <f t="shared" si="20"/>
        <v>1024460.6141194708</v>
      </c>
      <c r="P34" s="58">
        <f t="shared" si="20"/>
        <v>1120562.0861161298</v>
      </c>
      <c r="Q34" s="58">
        <f t="shared" si="20"/>
        <v>1225678.5390624101</v>
      </c>
      <c r="R34" s="58">
        <f t="shared" si="20"/>
        <v>1340655.6403537591</v>
      </c>
      <c r="S34" s="58">
        <f t="shared" si="20"/>
        <v>1466418.3868204521</v>
      </c>
      <c r="T34" s="58">
        <f t="shared" si="20"/>
        <v>1603978.546375768</v>
      </c>
      <c r="U34" s="58">
        <f t="shared" si="20"/>
        <v>1754442.7977420937</v>
      </c>
      <c r="V34" s="58">
        <f t="shared" si="20"/>
        <v>1919021.6337394817</v>
      </c>
    </row>
    <row r="35" spans="1:22" x14ac:dyDescent="0.2">
      <c r="G35" s="53" t="s">
        <v>71</v>
      </c>
      <c r="H35" s="59">
        <f>$C$18</f>
        <v>0.09</v>
      </c>
      <c r="I35" s="59">
        <f>H35</f>
        <v>0.09</v>
      </c>
      <c r="J35" s="59">
        <f t="shared" ref="J35:V35" si="21">I35</f>
        <v>0.09</v>
      </c>
      <c r="K35" s="59">
        <f t="shared" si="21"/>
        <v>0.09</v>
      </c>
      <c r="L35" s="59">
        <f t="shared" si="21"/>
        <v>0.09</v>
      </c>
      <c r="M35" s="59">
        <f t="shared" si="21"/>
        <v>0.09</v>
      </c>
      <c r="N35" s="59">
        <f t="shared" si="21"/>
        <v>0.09</v>
      </c>
      <c r="O35" s="59">
        <f t="shared" si="21"/>
        <v>0.09</v>
      </c>
      <c r="P35" s="59">
        <f t="shared" si="21"/>
        <v>0.09</v>
      </c>
      <c r="Q35" s="59">
        <f t="shared" si="21"/>
        <v>0.09</v>
      </c>
      <c r="R35" s="59">
        <f t="shared" si="21"/>
        <v>0.09</v>
      </c>
      <c r="S35" s="59">
        <f t="shared" si="21"/>
        <v>0.09</v>
      </c>
      <c r="T35" s="59">
        <f t="shared" si="21"/>
        <v>0.09</v>
      </c>
      <c r="U35" s="59">
        <f t="shared" si="21"/>
        <v>0.09</v>
      </c>
      <c r="V35" s="59">
        <f t="shared" si="21"/>
        <v>0.09</v>
      </c>
    </row>
    <row r="36" spans="1:22" x14ac:dyDescent="0.2">
      <c r="G36" s="53" t="s">
        <v>72</v>
      </c>
      <c r="H36" s="59">
        <f>$C$19+Data9!C27</f>
        <v>0</v>
      </c>
      <c r="I36" s="62">
        <f>H36</f>
        <v>0</v>
      </c>
      <c r="J36" s="62">
        <f t="shared" ref="J36:V36" si="22">I36</f>
        <v>0</v>
      </c>
      <c r="K36" s="62">
        <f t="shared" si="22"/>
        <v>0</v>
      </c>
      <c r="L36" s="62">
        <f t="shared" si="22"/>
        <v>0</v>
      </c>
      <c r="M36" s="62">
        <f t="shared" si="22"/>
        <v>0</v>
      </c>
      <c r="N36" s="62">
        <f t="shared" si="22"/>
        <v>0</v>
      </c>
      <c r="O36" s="62">
        <f t="shared" si="22"/>
        <v>0</v>
      </c>
      <c r="P36" s="62">
        <f t="shared" si="22"/>
        <v>0</v>
      </c>
      <c r="Q36" s="62">
        <f t="shared" si="22"/>
        <v>0</v>
      </c>
      <c r="R36" s="62">
        <f t="shared" si="22"/>
        <v>0</v>
      </c>
      <c r="S36" s="62">
        <f t="shared" si="22"/>
        <v>0</v>
      </c>
      <c r="T36" s="62">
        <f t="shared" si="22"/>
        <v>0</v>
      </c>
      <c r="U36" s="62">
        <f t="shared" si="22"/>
        <v>0</v>
      </c>
      <c r="V36" s="62">
        <f t="shared" si="22"/>
        <v>0</v>
      </c>
    </row>
    <row r="37" spans="1:22" x14ac:dyDescent="0.2">
      <c r="B37" s="53" t="s">
        <v>67</v>
      </c>
      <c r="C37" s="53" t="str">
        <f>IF(B26=D62,D62,IF(B26=C31,C31,IF(B26=D31,D31,0)))</f>
        <v>Bank</v>
      </c>
      <c r="D37" s="53" t="s">
        <v>69</v>
      </c>
      <c r="G37" s="53" t="s">
        <v>36</v>
      </c>
      <c r="H37" s="59">
        <f>$C$20</f>
        <v>0</v>
      </c>
      <c r="I37" s="59">
        <f>H37</f>
        <v>0</v>
      </c>
      <c r="J37" s="59">
        <f t="shared" ref="J37:V37" si="23">I37</f>
        <v>0</v>
      </c>
      <c r="K37" s="59">
        <f t="shared" si="23"/>
        <v>0</v>
      </c>
      <c r="L37" s="59">
        <f t="shared" si="23"/>
        <v>0</v>
      </c>
      <c r="M37" s="59">
        <f t="shared" si="23"/>
        <v>0</v>
      </c>
      <c r="N37" s="59">
        <f t="shared" si="23"/>
        <v>0</v>
      </c>
      <c r="O37" s="59">
        <f t="shared" si="23"/>
        <v>0</v>
      </c>
      <c r="P37" s="59">
        <f t="shared" si="23"/>
        <v>0</v>
      </c>
      <c r="Q37" s="59">
        <f t="shared" si="23"/>
        <v>0</v>
      </c>
      <c r="R37" s="59">
        <f t="shared" si="23"/>
        <v>0</v>
      </c>
      <c r="S37" s="59">
        <f t="shared" si="23"/>
        <v>0</v>
      </c>
      <c r="T37" s="59">
        <f t="shared" si="23"/>
        <v>0</v>
      </c>
      <c r="U37" s="59">
        <f t="shared" si="23"/>
        <v>0</v>
      </c>
      <c r="V37" s="59">
        <f t="shared" si="23"/>
        <v>0</v>
      </c>
    </row>
    <row r="38" spans="1:22" x14ac:dyDescent="0.2">
      <c r="A38" s="53" t="s">
        <v>73</v>
      </c>
      <c r="B38" s="79">
        <f>B34</f>
        <v>500000</v>
      </c>
      <c r="C38" s="79">
        <f>IF(B26=D62,D63,IF(B26=C31,C34,IF(B26=D31,D34,0)))</f>
        <v>500000</v>
      </c>
      <c r="D38" s="84">
        <f>D34</f>
        <v>500000</v>
      </c>
      <c r="G38" s="53" t="s">
        <v>73</v>
      </c>
      <c r="H38" s="53">
        <f>(H32*12)+H33</f>
        <v>500000</v>
      </c>
      <c r="I38" s="53">
        <f>H38+(I32*12)</f>
        <v>500000</v>
      </c>
      <c r="J38" s="53">
        <f t="shared" ref="J38:V38" si="24">I38+(J32*12)</f>
        <v>500000</v>
      </c>
      <c r="K38" s="53">
        <f t="shared" si="24"/>
        <v>500000</v>
      </c>
      <c r="L38" s="53">
        <f t="shared" si="24"/>
        <v>500000</v>
      </c>
      <c r="M38" s="53">
        <f t="shared" si="24"/>
        <v>500000</v>
      </c>
      <c r="N38" s="53">
        <f t="shared" si="24"/>
        <v>500000</v>
      </c>
      <c r="O38" s="53">
        <f t="shared" si="24"/>
        <v>500000</v>
      </c>
      <c r="P38" s="53">
        <f t="shared" si="24"/>
        <v>500000</v>
      </c>
      <c r="Q38" s="53">
        <f t="shared" si="24"/>
        <v>500000</v>
      </c>
      <c r="R38" s="53">
        <f t="shared" si="24"/>
        <v>500000</v>
      </c>
      <c r="S38" s="53">
        <f t="shared" si="24"/>
        <v>500000</v>
      </c>
      <c r="T38" s="53">
        <f t="shared" si="24"/>
        <v>500000</v>
      </c>
      <c r="U38" s="53">
        <f t="shared" si="24"/>
        <v>500000</v>
      </c>
      <c r="V38" s="53">
        <f t="shared" si="24"/>
        <v>500000</v>
      </c>
    </row>
    <row r="39" spans="1:22" x14ac:dyDescent="0.2">
      <c r="A39" s="53" t="s">
        <v>235</v>
      </c>
      <c r="B39" s="79">
        <f>B33</f>
        <v>46406.400519336697</v>
      </c>
      <c r="C39" s="79">
        <f>IF(B26=D62,D64,IF(B26=C31,C33,IF(B26=D31,D33,0)))</f>
        <v>28058.392207946643</v>
      </c>
      <c r="D39" s="84">
        <f>D33</f>
        <v>46903.448835492134</v>
      </c>
    </row>
    <row r="40" spans="1:22" x14ac:dyDescent="0.2">
      <c r="A40" s="53" t="s">
        <v>239</v>
      </c>
      <c r="B40" s="79">
        <f>B32</f>
        <v>497.04831615543367</v>
      </c>
      <c r="C40" s="79">
        <f>IF(B26=D62,D65,IF(B26=C31,C32,IF(B26=D31,0,0)))</f>
        <v>934.76902125658</v>
      </c>
      <c r="G40" s="53" t="s">
        <v>74</v>
      </c>
      <c r="H40" s="58">
        <f>H34-H38</f>
        <v>46903.448835492134</v>
      </c>
      <c r="I40" s="58">
        <f>I34-I38</f>
        <v>98206.764696311555</v>
      </c>
      <c r="J40" s="58">
        <f t="shared" ref="J40:V40" si="25">J34-J38</f>
        <v>154322.68545826897</v>
      </c>
      <c r="K40" s="58">
        <f t="shared" si="25"/>
        <v>215702.66665685643</v>
      </c>
      <c r="L40" s="58">
        <f t="shared" si="25"/>
        <v>282840.51347078674</v>
      </c>
      <c r="M40" s="58">
        <f t="shared" si="25"/>
        <v>356276.35341064166</v>
      </c>
      <c r="N40" s="58">
        <f t="shared" si="25"/>
        <v>436600.98167311726</v>
      </c>
      <c r="O40" s="58">
        <f t="shared" si="25"/>
        <v>524460.61411947082</v>
      </c>
      <c r="P40" s="58">
        <f t="shared" si="25"/>
        <v>620562.08611612977</v>
      </c>
      <c r="Q40" s="58">
        <f t="shared" si="25"/>
        <v>725678.53906241013</v>
      </c>
      <c r="R40" s="58">
        <f t="shared" si="25"/>
        <v>840655.64035375905</v>
      </c>
      <c r="S40" s="58">
        <f t="shared" si="25"/>
        <v>966418.38682045205</v>
      </c>
      <c r="T40" s="58">
        <f t="shared" si="25"/>
        <v>1103978.546375768</v>
      </c>
      <c r="U40" s="58">
        <f t="shared" si="25"/>
        <v>1254442.7977420937</v>
      </c>
      <c r="V40" s="58">
        <f t="shared" si="25"/>
        <v>1419021.6337394817</v>
      </c>
    </row>
    <row r="41" spans="1:22" x14ac:dyDescent="0.2">
      <c r="B41" s="79"/>
      <c r="C41" s="79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</row>
    <row r="42" spans="1:22" x14ac:dyDescent="0.2">
      <c r="B42" s="79"/>
      <c r="C42" s="79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</row>
    <row r="43" spans="1:22" x14ac:dyDescent="0.2">
      <c r="B43" s="79" t="str">
        <f>B37</f>
        <v>Flexible Investment</v>
      </c>
      <c r="C43" s="79" t="str">
        <f>C37</f>
        <v>Bank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</row>
    <row r="44" spans="1:22" x14ac:dyDescent="0.2">
      <c r="A44" s="53" t="s">
        <v>245</v>
      </c>
      <c r="B44" s="79">
        <f>B39+B38</f>
        <v>546406.40051933669</v>
      </c>
      <c r="C44" s="79">
        <f>C39+C38</f>
        <v>528058.39220794663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</row>
    <row r="45" spans="1:22" x14ac:dyDescent="0.2">
      <c r="B45" s="79"/>
      <c r="C45" s="79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</row>
    <row r="48" spans="1:22" x14ac:dyDescent="0.2">
      <c r="G48" s="53">
        <f>$C$17</f>
        <v>1</v>
      </c>
    </row>
    <row r="50" spans="1:22" x14ac:dyDescent="0.2">
      <c r="F50" s="53" t="s">
        <v>40</v>
      </c>
      <c r="G50" s="61">
        <f>HLOOKUP(G48,H31:V40,4)</f>
        <v>546903.44883549213</v>
      </c>
      <c r="H50" s="84">
        <f>G50-G51</f>
        <v>500000</v>
      </c>
    </row>
    <row r="51" spans="1:22" x14ac:dyDescent="0.2">
      <c r="F51" s="53" t="s">
        <v>74</v>
      </c>
      <c r="G51" s="61">
        <f>HLOOKUP(G48,H31:V40,10)</f>
        <v>46903.448835492134</v>
      </c>
      <c r="H51" s="84">
        <f>G51*J9</f>
        <v>5628.4138602590556</v>
      </c>
      <c r="I51" s="84">
        <f>G51-H51</f>
        <v>41275.03497523308</v>
      </c>
    </row>
    <row r="54" spans="1:22" x14ac:dyDescent="0.2">
      <c r="F54" s="53" t="s">
        <v>69</v>
      </c>
      <c r="H54" s="53">
        <v>1</v>
      </c>
      <c r="I54" s="53">
        <v>2</v>
      </c>
      <c r="J54" s="53">
        <v>3</v>
      </c>
      <c r="K54" s="53">
        <v>4</v>
      </c>
      <c r="L54" s="53">
        <v>5</v>
      </c>
      <c r="M54" s="53">
        <v>6</v>
      </c>
      <c r="N54" s="53">
        <v>7</v>
      </c>
      <c r="O54" s="53">
        <v>8</v>
      </c>
      <c r="P54" s="53">
        <v>9</v>
      </c>
      <c r="Q54" s="53">
        <v>10</v>
      </c>
      <c r="R54" s="53">
        <v>11</v>
      </c>
      <c r="S54" s="53">
        <v>12</v>
      </c>
      <c r="T54" s="53">
        <v>13</v>
      </c>
      <c r="U54" s="53">
        <v>14</v>
      </c>
      <c r="V54" s="53">
        <v>15</v>
      </c>
    </row>
    <row r="55" spans="1:22" x14ac:dyDescent="0.2">
      <c r="G55" s="53" t="s">
        <v>61</v>
      </c>
      <c r="H55" s="53">
        <f>$C$15</f>
        <v>0</v>
      </c>
      <c r="I55" s="53">
        <f>H55*(1+H60)</f>
        <v>0</v>
      </c>
      <c r="J55" s="53">
        <f t="shared" ref="J55:V55" si="26">I55*(1+I60)</f>
        <v>0</v>
      </c>
      <c r="K55" s="53">
        <f t="shared" si="26"/>
        <v>0</v>
      </c>
      <c r="L55" s="53">
        <f t="shared" si="26"/>
        <v>0</v>
      </c>
      <c r="M55" s="53">
        <f t="shared" si="26"/>
        <v>0</v>
      </c>
      <c r="N55" s="53">
        <f t="shared" si="26"/>
        <v>0</v>
      </c>
      <c r="O55" s="53">
        <f t="shared" si="26"/>
        <v>0</v>
      </c>
      <c r="P55" s="53">
        <f t="shared" si="26"/>
        <v>0</v>
      </c>
      <c r="Q55" s="53">
        <f t="shared" si="26"/>
        <v>0</v>
      </c>
      <c r="R55" s="53">
        <f t="shared" si="26"/>
        <v>0</v>
      </c>
      <c r="S55" s="53">
        <f t="shared" si="26"/>
        <v>0</v>
      </c>
      <c r="T55" s="53">
        <f t="shared" si="26"/>
        <v>0</v>
      </c>
      <c r="U55" s="53">
        <f t="shared" si="26"/>
        <v>0</v>
      </c>
      <c r="V55" s="53">
        <f t="shared" si="26"/>
        <v>0</v>
      </c>
    </row>
    <row r="56" spans="1:22" x14ac:dyDescent="0.2">
      <c r="G56" s="53" t="s">
        <v>62</v>
      </c>
      <c r="H56" s="53">
        <f>$C$16</f>
        <v>500000</v>
      </c>
      <c r="I56" s="58">
        <f>H57</f>
        <v>546903.44883549213</v>
      </c>
      <c r="J56" s="58">
        <f t="shared" ref="J56:V56" si="27">I57</f>
        <v>598206.76469631155</v>
      </c>
      <c r="K56" s="58">
        <f t="shared" si="27"/>
        <v>654322.68545826897</v>
      </c>
      <c r="L56" s="58">
        <f t="shared" si="27"/>
        <v>715702.66665685643</v>
      </c>
      <c r="M56" s="58">
        <f t="shared" si="27"/>
        <v>782840.51347078674</v>
      </c>
      <c r="N56" s="58">
        <f t="shared" si="27"/>
        <v>856276.35341064166</v>
      </c>
      <c r="O56" s="58">
        <f t="shared" si="27"/>
        <v>936600.98167311726</v>
      </c>
      <c r="P56" s="58">
        <f t="shared" si="27"/>
        <v>1024460.6141194708</v>
      </c>
      <c r="Q56" s="58">
        <f t="shared" si="27"/>
        <v>1120562.0861161298</v>
      </c>
      <c r="R56" s="58">
        <f t="shared" si="27"/>
        <v>1225678.5390624101</v>
      </c>
      <c r="S56" s="58">
        <f t="shared" si="27"/>
        <v>1340655.6403537591</v>
      </c>
      <c r="T56" s="58">
        <f t="shared" si="27"/>
        <v>1466418.3868204521</v>
      </c>
      <c r="U56" s="58">
        <f t="shared" si="27"/>
        <v>1603978.546375768</v>
      </c>
      <c r="V56" s="58">
        <f t="shared" si="27"/>
        <v>1754442.7977420937</v>
      </c>
    </row>
    <row r="57" spans="1:22" x14ac:dyDescent="0.2">
      <c r="G57" s="53" t="s">
        <v>40</v>
      </c>
      <c r="H57" s="58">
        <f t="shared" ref="H57:V57" si="28">FV((H58-H59)/12,12,-H55,-H56)</f>
        <v>546903.44883549213</v>
      </c>
      <c r="I57" s="58">
        <f t="shared" si="28"/>
        <v>598206.76469631155</v>
      </c>
      <c r="J57" s="58">
        <f t="shared" si="28"/>
        <v>654322.68545826897</v>
      </c>
      <c r="K57" s="58">
        <f t="shared" si="28"/>
        <v>715702.66665685643</v>
      </c>
      <c r="L57" s="58">
        <f t="shared" si="28"/>
        <v>782840.51347078674</v>
      </c>
      <c r="M57" s="58">
        <f t="shared" si="28"/>
        <v>856276.35341064166</v>
      </c>
      <c r="N57" s="58">
        <f t="shared" si="28"/>
        <v>936600.98167311726</v>
      </c>
      <c r="O57" s="58">
        <f t="shared" si="28"/>
        <v>1024460.6141194708</v>
      </c>
      <c r="P57" s="58">
        <f t="shared" si="28"/>
        <v>1120562.0861161298</v>
      </c>
      <c r="Q57" s="58">
        <f t="shared" si="28"/>
        <v>1225678.5390624101</v>
      </c>
      <c r="R57" s="58">
        <f t="shared" si="28"/>
        <v>1340655.6403537591</v>
      </c>
      <c r="S57" s="58">
        <f t="shared" si="28"/>
        <v>1466418.3868204521</v>
      </c>
      <c r="T57" s="58">
        <f t="shared" si="28"/>
        <v>1603978.546375768</v>
      </c>
      <c r="U57" s="58">
        <f t="shared" si="28"/>
        <v>1754442.7977420937</v>
      </c>
      <c r="V57" s="58">
        <f t="shared" si="28"/>
        <v>1919021.6337394817</v>
      </c>
    </row>
    <row r="58" spans="1:22" x14ac:dyDescent="0.2">
      <c r="G58" s="53" t="s">
        <v>71</v>
      </c>
      <c r="H58" s="59">
        <f>$C$18</f>
        <v>0.09</v>
      </c>
      <c r="I58" s="59">
        <f>H58</f>
        <v>0.09</v>
      </c>
      <c r="J58" s="59">
        <f t="shared" ref="J58:V58" si="29">I58</f>
        <v>0.09</v>
      </c>
      <c r="K58" s="59">
        <f t="shared" si="29"/>
        <v>0.09</v>
      </c>
      <c r="L58" s="59">
        <f t="shared" si="29"/>
        <v>0.09</v>
      </c>
      <c r="M58" s="59">
        <f t="shared" si="29"/>
        <v>0.09</v>
      </c>
      <c r="N58" s="59">
        <f t="shared" si="29"/>
        <v>0.09</v>
      </c>
      <c r="O58" s="59">
        <f t="shared" si="29"/>
        <v>0.09</v>
      </c>
      <c r="P58" s="59">
        <f t="shared" si="29"/>
        <v>0.09</v>
      </c>
      <c r="Q58" s="59">
        <f t="shared" si="29"/>
        <v>0.09</v>
      </c>
      <c r="R58" s="59">
        <f t="shared" si="29"/>
        <v>0.09</v>
      </c>
      <c r="S58" s="59">
        <f t="shared" si="29"/>
        <v>0.09</v>
      </c>
      <c r="T58" s="59">
        <f t="shared" si="29"/>
        <v>0.09</v>
      </c>
      <c r="U58" s="59">
        <f t="shared" si="29"/>
        <v>0.09</v>
      </c>
      <c r="V58" s="59">
        <f t="shared" si="29"/>
        <v>0.09</v>
      </c>
    </row>
    <row r="59" spans="1:22" x14ac:dyDescent="0.2">
      <c r="G59" s="53" t="s">
        <v>72</v>
      </c>
      <c r="H59" s="59">
        <f>$C$19</f>
        <v>0</v>
      </c>
      <c r="I59" s="62">
        <f>H59</f>
        <v>0</v>
      </c>
      <c r="J59" s="62">
        <f t="shared" ref="J59:V59" si="30">I59</f>
        <v>0</v>
      </c>
      <c r="K59" s="62">
        <f t="shared" si="30"/>
        <v>0</v>
      </c>
      <c r="L59" s="62">
        <f t="shared" si="30"/>
        <v>0</v>
      </c>
      <c r="M59" s="62">
        <f t="shared" si="30"/>
        <v>0</v>
      </c>
      <c r="N59" s="62">
        <f t="shared" si="30"/>
        <v>0</v>
      </c>
      <c r="O59" s="62">
        <f t="shared" si="30"/>
        <v>0</v>
      </c>
      <c r="P59" s="62">
        <f t="shared" si="30"/>
        <v>0</v>
      </c>
      <c r="Q59" s="62">
        <f t="shared" si="30"/>
        <v>0</v>
      </c>
      <c r="R59" s="62">
        <f t="shared" si="30"/>
        <v>0</v>
      </c>
      <c r="S59" s="62">
        <f t="shared" si="30"/>
        <v>0</v>
      </c>
      <c r="T59" s="62">
        <f t="shared" si="30"/>
        <v>0</v>
      </c>
      <c r="U59" s="62">
        <f t="shared" si="30"/>
        <v>0</v>
      </c>
      <c r="V59" s="62">
        <f t="shared" si="30"/>
        <v>0</v>
      </c>
    </row>
    <row r="60" spans="1:22" x14ac:dyDescent="0.2">
      <c r="G60" s="53" t="s">
        <v>36</v>
      </c>
      <c r="H60" s="59">
        <f>$C$20</f>
        <v>0</v>
      </c>
      <c r="I60" s="59">
        <f>H60</f>
        <v>0</v>
      </c>
      <c r="J60" s="59">
        <f t="shared" ref="J60:V60" si="31">I60</f>
        <v>0</v>
      </c>
      <c r="K60" s="59">
        <f t="shared" si="31"/>
        <v>0</v>
      </c>
      <c r="L60" s="59">
        <f t="shared" si="31"/>
        <v>0</v>
      </c>
      <c r="M60" s="59">
        <f t="shared" si="31"/>
        <v>0</v>
      </c>
      <c r="N60" s="59">
        <f t="shared" si="31"/>
        <v>0</v>
      </c>
      <c r="O60" s="59">
        <f t="shared" si="31"/>
        <v>0</v>
      </c>
      <c r="P60" s="59">
        <f t="shared" si="31"/>
        <v>0</v>
      </c>
      <c r="Q60" s="59">
        <f t="shared" si="31"/>
        <v>0</v>
      </c>
      <c r="R60" s="59">
        <f t="shared" si="31"/>
        <v>0</v>
      </c>
      <c r="S60" s="59">
        <f t="shared" si="31"/>
        <v>0</v>
      </c>
      <c r="T60" s="59">
        <f t="shared" si="31"/>
        <v>0</v>
      </c>
      <c r="U60" s="59">
        <f t="shared" si="31"/>
        <v>0</v>
      </c>
      <c r="V60" s="59">
        <f t="shared" si="31"/>
        <v>0</v>
      </c>
    </row>
    <row r="61" spans="1:22" x14ac:dyDescent="0.2">
      <c r="G61" s="53" t="s">
        <v>73</v>
      </c>
      <c r="H61" s="53">
        <f>(H55*12)+H56</f>
        <v>500000</v>
      </c>
      <c r="I61" s="53">
        <f>H61+(I55*12)</f>
        <v>500000</v>
      </c>
      <c r="J61" s="53">
        <f t="shared" ref="J61:V61" si="32">I61+(J55*12)</f>
        <v>500000</v>
      </c>
      <c r="K61" s="53">
        <f t="shared" si="32"/>
        <v>500000</v>
      </c>
      <c r="L61" s="53">
        <f t="shared" si="32"/>
        <v>500000</v>
      </c>
      <c r="M61" s="53">
        <f t="shared" si="32"/>
        <v>500000</v>
      </c>
      <c r="N61" s="53">
        <f t="shared" si="32"/>
        <v>500000</v>
      </c>
      <c r="O61" s="53">
        <f t="shared" si="32"/>
        <v>500000</v>
      </c>
      <c r="P61" s="53">
        <f t="shared" si="32"/>
        <v>500000</v>
      </c>
      <c r="Q61" s="53">
        <f t="shared" si="32"/>
        <v>500000</v>
      </c>
      <c r="R61" s="53">
        <f t="shared" si="32"/>
        <v>500000</v>
      </c>
      <c r="S61" s="53">
        <f t="shared" si="32"/>
        <v>500000</v>
      </c>
      <c r="T61" s="53">
        <f t="shared" si="32"/>
        <v>500000</v>
      </c>
      <c r="U61" s="53">
        <f t="shared" si="32"/>
        <v>500000</v>
      </c>
      <c r="V61" s="53">
        <f t="shared" si="32"/>
        <v>500000</v>
      </c>
    </row>
    <row r="62" spans="1:22" x14ac:dyDescent="0.2">
      <c r="B62" s="53" t="str">
        <f t="shared" ref="B62:C65" si="33">B37</f>
        <v>Flexible Investment</v>
      </c>
      <c r="C62" s="53" t="str">
        <f t="shared" si="33"/>
        <v>Bank</v>
      </c>
      <c r="D62" s="53" t="s">
        <v>70</v>
      </c>
    </row>
    <row r="63" spans="1:22" x14ac:dyDescent="0.2">
      <c r="A63" s="53" t="str">
        <f>A38</f>
        <v>Contributed</v>
      </c>
      <c r="B63" s="53">
        <f t="shared" si="33"/>
        <v>500000</v>
      </c>
      <c r="C63" s="53">
        <f t="shared" si="33"/>
        <v>500000</v>
      </c>
      <c r="D63" s="84">
        <f>H86</f>
        <v>500000</v>
      </c>
      <c r="G63" s="53" t="s">
        <v>74</v>
      </c>
      <c r="H63" s="58">
        <f>H57-H61</f>
        <v>46903.448835492134</v>
      </c>
      <c r="I63" s="58">
        <f>I57-I61</f>
        <v>98206.764696311555</v>
      </c>
      <c r="J63" s="58">
        <f t="shared" ref="J63:V63" si="34">J57-J61</f>
        <v>154322.68545826897</v>
      </c>
      <c r="K63" s="58">
        <f t="shared" si="34"/>
        <v>215702.66665685643</v>
      </c>
      <c r="L63" s="58">
        <f t="shared" si="34"/>
        <v>282840.51347078674</v>
      </c>
      <c r="M63" s="58">
        <f t="shared" si="34"/>
        <v>356276.35341064166</v>
      </c>
      <c r="N63" s="58">
        <f t="shared" si="34"/>
        <v>436600.98167311726</v>
      </c>
      <c r="O63" s="58">
        <f t="shared" si="34"/>
        <v>524460.61411947082</v>
      </c>
      <c r="P63" s="58">
        <f t="shared" si="34"/>
        <v>620562.08611612977</v>
      </c>
      <c r="Q63" s="58">
        <f t="shared" si="34"/>
        <v>725678.53906241013</v>
      </c>
      <c r="R63" s="58">
        <f t="shared" si="34"/>
        <v>840655.64035375905</v>
      </c>
      <c r="S63" s="58">
        <f t="shared" si="34"/>
        <v>966418.38682045205</v>
      </c>
      <c r="T63" s="58">
        <f t="shared" si="34"/>
        <v>1103978.546375768</v>
      </c>
      <c r="U63" s="58">
        <f t="shared" si="34"/>
        <v>1254442.7977420937</v>
      </c>
      <c r="V63" s="58">
        <f t="shared" si="34"/>
        <v>1419021.6337394817</v>
      </c>
    </row>
    <row r="64" spans="1:22" x14ac:dyDescent="0.2">
      <c r="A64" s="53" t="str">
        <f>A39</f>
        <v>Interest</v>
      </c>
      <c r="B64" s="53">
        <f t="shared" si="33"/>
        <v>46406.400519336697</v>
      </c>
      <c r="C64" s="53">
        <f t="shared" si="33"/>
        <v>28058.392207946643</v>
      </c>
      <c r="D64" s="84">
        <f>I87</f>
        <v>28058.392207946643</v>
      </c>
    </row>
    <row r="65" spans="1:22" x14ac:dyDescent="0.2">
      <c r="A65" s="53" t="str">
        <f>A40</f>
        <v>Tax</v>
      </c>
      <c r="B65" s="53">
        <f t="shared" si="33"/>
        <v>497.04831615543367</v>
      </c>
      <c r="C65" s="53">
        <f t="shared" si="33"/>
        <v>934.76902125658</v>
      </c>
      <c r="D65" s="84">
        <f>H87</f>
        <v>934.76902125658</v>
      </c>
    </row>
    <row r="66" spans="1:22" x14ac:dyDescent="0.2">
      <c r="G66" s="53">
        <f>$C$17</f>
        <v>1</v>
      </c>
    </row>
    <row r="68" spans="1:22" x14ac:dyDescent="0.2">
      <c r="F68" s="53" t="s">
        <v>40</v>
      </c>
      <c r="G68" s="61">
        <f>HLOOKUP(G66,H54:V63,4)</f>
        <v>546903.44883549213</v>
      </c>
      <c r="H68" s="84">
        <f>G68-G69</f>
        <v>500000</v>
      </c>
    </row>
    <row r="69" spans="1:22" x14ac:dyDescent="0.2">
      <c r="F69" s="53" t="s">
        <v>74</v>
      </c>
      <c r="G69" s="61">
        <f>HLOOKUP(G66,H54:V63,10)</f>
        <v>46903.448835492134</v>
      </c>
      <c r="H69" s="53">
        <v>0</v>
      </c>
      <c r="I69" s="84">
        <f>G69</f>
        <v>46903.448835492134</v>
      </c>
    </row>
    <row r="72" spans="1:22" x14ac:dyDescent="0.2">
      <c r="F72" s="53" t="s">
        <v>70</v>
      </c>
      <c r="H72" s="53">
        <v>1</v>
      </c>
      <c r="I72" s="53">
        <v>2</v>
      </c>
      <c r="J72" s="53">
        <v>3</v>
      </c>
      <c r="K72" s="53">
        <v>4</v>
      </c>
      <c r="L72" s="53">
        <v>5</v>
      </c>
      <c r="M72" s="53">
        <v>6</v>
      </c>
      <c r="N72" s="53">
        <v>7</v>
      </c>
      <c r="O72" s="53">
        <v>8</v>
      </c>
      <c r="P72" s="53">
        <v>9</v>
      </c>
      <c r="Q72" s="53">
        <v>10</v>
      </c>
      <c r="R72" s="53">
        <v>11</v>
      </c>
      <c r="S72" s="53">
        <v>12</v>
      </c>
      <c r="T72" s="53">
        <v>13</v>
      </c>
      <c r="U72" s="53">
        <v>14</v>
      </c>
      <c r="V72" s="53">
        <v>15</v>
      </c>
    </row>
    <row r="73" spans="1:22" x14ac:dyDescent="0.2">
      <c r="G73" s="53" t="s">
        <v>61</v>
      </c>
      <c r="H73" s="53">
        <f>$C$15</f>
        <v>0</v>
      </c>
      <c r="I73" s="53">
        <f>H73*(1+H78)</f>
        <v>0</v>
      </c>
      <c r="J73" s="53">
        <f t="shared" ref="J73:V73" si="35">I73*(1+I78)</f>
        <v>0</v>
      </c>
      <c r="K73" s="53">
        <f t="shared" si="35"/>
        <v>0</v>
      </c>
      <c r="L73" s="53">
        <f t="shared" si="35"/>
        <v>0</v>
      </c>
      <c r="M73" s="53">
        <f t="shared" si="35"/>
        <v>0</v>
      </c>
      <c r="N73" s="53">
        <f t="shared" si="35"/>
        <v>0</v>
      </c>
      <c r="O73" s="53">
        <f t="shared" si="35"/>
        <v>0</v>
      </c>
      <c r="P73" s="53">
        <f t="shared" si="35"/>
        <v>0</v>
      </c>
      <c r="Q73" s="53">
        <f t="shared" si="35"/>
        <v>0</v>
      </c>
      <c r="R73" s="53">
        <f t="shared" si="35"/>
        <v>0</v>
      </c>
      <c r="S73" s="53">
        <f t="shared" si="35"/>
        <v>0</v>
      </c>
      <c r="T73" s="53">
        <f t="shared" si="35"/>
        <v>0</v>
      </c>
      <c r="U73" s="53">
        <f t="shared" si="35"/>
        <v>0</v>
      </c>
      <c r="V73" s="53">
        <f t="shared" si="35"/>
        <v>0</v>
      </c>
    </row>
    <row r="74" spans="1:22" x14ac:dyDescent="0.2">
      <c r="G74" s="53" t="s">
        <v>62</v>
      </c>
      <c r="H74" s="53">
        <f>$C$16</f>
        <v>500000</v>
      </c>
      <c r="I74" s="58">
        <f>H75</f>
        <v>528993.16122920322</v>
      </c>
      <c r="J74" s="58">
        <f t="shared" ref="J74:V74" si="36">I75</f>
        <v>559667.5292545316</v>
      </c>
      <c r="K74" s="58">
        <f t="shared" si="36"/>
        <v>592120.59107538452</v>
      </c>
      <c r="L74" s="58">
        <f t="shared" si="36"/>
        <v>626455.48660374398</v>
      </c>
      <c r="M74" s="58">
        <f t="shared" si="36"/>
        <v>662781.3364557866</v>
      </c>
      <c r="N74" s="58">
        <f t="shared" si="36"/>
        <v>701213.5887509255</v>
      </c>
      <c r="O74" s="58">
        <f t="shared" si="36"/>
        <v>741874.38602045306</v>
      </c>
      <c r="P74" s="58">
        <f t="shared" si="36"/>
        <v>784892.95339186746</v>
      </c>
      <c r="Q74" s="58">
        <f t="shared" si="36"/>
        <v>830406.0092825793</v>
      </c>
      <c r="R74" s="58">
        <f t="shared" si="36"/>
        <v>878558.19990823744</v>
      </c>
      <c r="S74" s="58">
        <f t="shared" si="36"/>
        <v>929502.55898659362</v>
      </c>
      <c r="T74" s="58">
        <f t="shared" si="36"/>
        <v>983400.9940979043</v>
      </c>
      <c r="U74" s="58">
        <f t="shared" si="36"/>
        <v>1040424.8012475829</v>
      </c>
      <c r="V74" s="58">
        <f t="shared" si="36"/>
        <v>1100755.2092664486</v>
      </c>
    </row>
    <row r="75" spans="1:22" x14ac:dyDescent="0.2">
      <c r="G75" s="53" t="s">
        <v>40</v>
      </c>
      <c r="H75" s="58">
        <f t="shared" ref="H75:V75" si="37">FV((H76-H77)/12,12,-H73,-H74)</f>
        <v>528993.16122920322</v>
      </c>
      <c r="I75" s="58">
        <f t="shared" si="37"/>
        <v>559667.5292545316</v>
      </c>
      <c r="J75" s="58">
        <f t="shared" si="37"/>
        <v>592120.59107538452</v>
      </c>
      <c r="K75" s="58">
        <f t="shared" si="37"/>
        <v>626455.48660374398</v>
      </c>
      <c r="L75" s="58">
        <f t="shared" si="37"/>
        <v>662781.3364557866</v>
      </c>
      <c r="M75" s="58">
        <f t="shared" si="37"/>
        <v>701213.5887509255</v>
      </c>
      <c r="N75" s="58">
        <f t="shared" si="37"/>
        <v>741874.38602045306</v>
      </c>
      <c r="O75" s="58">
        <f t="shared" si="37"/>
        <v>784892.95339186746</v>
      </c>
      <c r="P75" s="58">
        <f t="shared" si="37"/>
        <v>830406.0092825793</v>
      </c>
      <c r="Q75" s="58">
        <f t="shared" si="37"/>
        <v>878558.19990823744</v>
      </c>
      <c r="R75" s="58">
        <f t="shared" si="37"/>
        <v>929502.55898659362</v>
      </c>
      <c r="S75" s="58">
        <f t="shared" si="37"/>
        <v>983400.9940979043</v>
      </c>
      <c r="T75" s="58">
        <f t="shared" si="37"/>
        <v>1040424.8012475829</v>
      </c>
      <c r="U75" s="58">
        <f t="shared" si="37"/>
        <v>1100755.2092664486</v>
      </c>
      <c r="V75" s="58">
        <f t="shared" si="37"/>
        <v>1164583.9557787436</v>
      </c>
    </row>
    <row r="76" spans="1:22" x14ac:dyDescent="0.2">
      <c r="G76" s="53" t="s">
        <v>71</v>
      </c>
      <c r="H76" s="59">
        <f>Data9!C26</f>
        <v>5.6500000000000002E-2</v>
      </c>
      <c r="I76" s="59">
        <f>H76</f>
        <v>5.6500000000000002E-2</v>
      </c>
      <c r="J76" s="59">
        <f t="shared" ref="J76:V76" si="38">I76</f>
        <v>5.6500000000000002E-2</v>
      </c>
      <c r="K76" s="59">
        <f t="shared" si="38"/>
        <v>5.6500000000000002E-2</v>
      </c>
      <c r="L76" s="59">
        <f t="shared" si="38"/>
        <v>5.6500000000000002E-2</v>
      </c>
      <c r="M76" s="59">
        <f t="shared" si="38"/>
        <v>5.6500000000000002E-2</v>
      </c>
      <c r="N76" s="59">
        <f t="shared" si="38"/>
        <v>5.6500000000000002E-2</v>
      </c>
      <c r="O76" s="59">
        <f t="shared" si="38"/>
        <v>5.6500000000000002E-2</v>
      </c>
      <c r="P76" s="59">
        <f t="shared" si="38"/>
        <v>5.6500000000000002E-2</v>
      </c>
      <c r="Q76" s="59">
        <f t="shared" si="38"/>
        <v>5.6500000000000002E-2</v>
      </c>
      <c r="R76" s="59">
        <f t="shared" si="38"/>
        <v>5.6500000000000002E-2</v>
      </c>
      <c r="S76" s="59">
        <f t="shared" si="38"/>
        <v>5.6500000000000002E-2</v>
      </c>
      <c r="T76" s="59">
        <f t="shared" si="38"/>
        <v>5.6500000000000002E-2</v>
      </c>
      <c r="U76" s="59">
        <f t="shared" si="38"/>
        <v>5.6500000000000002E-2</v>
      </c>
      <c r="V76" s="59">
        <f t="shared" si="38"/>
        <v>5.6500000000000002E-2</v>
      </c>
    </row>
    <row r="77" spans="1:22" x14ac:dyDescent="0.2">
      <c r="G77" s="53" t="s">
        <v>72</v>
      </c>
      <c r="H77" s="59"/>
      <c r="I77" s="62">
        <f>H77</f>
        <v>0</v>
      </c>
      <c r="J77" s="62">
        <f t="shared" ref="J77:V77" si="39">I77</f>
        <v>0</v>
      </c>
      <c r="K77" s="62">
        <f t="shared" si="39"/>
        <v>0</v>
      </c>
      <c r="L77" s="62">
        <f t="shared" si="39"/>
        <v>0</v>
      </c>
      <c r="M77" s="62">
        <f t="shared" si="39"/>
        <v>0</v>
      </c>
      <c r="N77" s="62">
        <f t="shared" si="39"/>
        <v>0</v>
      </c>
      <c r="O77" s="62">
        <f t="shared" si="39"/>
        <v>0</v>
      </c>
      <c r="P77" s="62">
        <f t="shared" si="39"/>
        <v>0</v>
      </c>
      <c r="Q77" s="62">
        <f t="shared" si="39"/>
        <v>0</v>
      </c>
      <c r="R77" s="62">
        <f t="shared" si="39"/>
        <v>0</v>
      </c>
      <c r="S77" s="62">
        <f t="shared" si="39"/>
        <v>0</v>
      </c>
      <c r="T77" s="62">
        <f t="shared" si="39"/>
        <v>0</v>
      </c>
      <c r="U77" s="62">
        <f t="shared" si="39"/>
        <v>0</v>
      </c>
      <c r="V77" s="62">
        <f t="shared" si="39"/>
        <v>0</v>
      </c>
    </row>
    <row r="78" spans="1:22" x14ac:dyDescent="0.2">
      <c r="G78" s="53" t="s">
        <v>36</v>
      </c>
      <c r="H78" s="59">
        <f>$C$20</f>
        <v>0</v>
      </c>
      <c r="I78" s="59">
        <f>H78</f>
        <v>0</v>
      </c>
      <c r="J78" s="59">
        <f t="shared" ref="J78:V78" si="40">I78</f>
        <v>0</v>
      </c>
      <c r="K78" s="59">
        <f t="shared" si="40"/>
        <v>0</v>
      </c>
      <c r="L78" s="59">
        <f t="shared" si="40"/>
        <v>0</v>
      </c>
      <c r="M78" s="59">
        <f t="shared" si="40"/>
        <v>0</v>
      </c>
      <c r="N78" s="59">
        <f t="shared" si="40"/>
        <v>0</v>
      </c>
      <c r="O78" s="59">
        <f t="shared" si="40"/>
        <v>0</v>
      </c>
      <c r="P78" s="59">
        <f t="shared" si="40"/>
        <v>0</v>
      </c>
      <c r="Q78" s="59">
        <f t="shared" si="40"/>
        <v>0</v>
      </c>
      <c r="R78" s="59">
        <f t="shared" si="40"/>
        <v>0</v>
      </c>
      <c r="S78" s="59">
        <f t="shared" si="40"/>
        <v>0</v>
      </c>
      <c r="T78" s="59">
        <f t="shared" si="40"/>
        <v>0</v>
      </c>
      <c r="U78" s="59">
        <f t="shared" si="40"/>
        <v>0</v>
      </c>
      <c r="V78" s="59">
        <f t="shared" si="40"/>
        <v>0</v>
      </c>
    </row>
    <row r="79" spans="1:22" x14ac:dyDescent="0.2">
      <c r="G79" s="53" t="s">
        <v>73</v>
      </c>
      <c r="H79" s="53">
        <f>(H73*12)+H74</f>
        <v>500000</v>
      </c>
      <c r="I79" s="53">
        <f>H79+(I73*12)</f>
        <v>500000</v>
      </c>
      <c r="J79" s="53">
        <f t="shared" ref="J79:V79" si="41">I79+(J73*12)</f>
        <v>500000</v>
      </c>
      <c r="K79" s="53">
        <f t="shared" si="41"/>
        <v>500000</v>
      </c>
      <c r="L79" s="53">
        <f t="shared" si="41"/>
        <v>500000</v>
      </c>
      <c r="M79" s="53">
        <f t="shared" si="41"/>
        <v>500000</v>
      </c>
      <c r="N79" s="53">
        <f t="shared" si="41"/>
        <v>500000</v>
      </c>
      <c r="O79" s="53">
        <f t="shared" si="41"/>
        <v>500000</v>
      </c>
      <c r="P79" s="53">
        <f t="shared" si="41"/>
        <v>500000</v>
      </c>
      <c r="Q79" s="53">
        <f t="shared" si="41"/>
        <v>500000</v>
      </c>
      <c r="R79" s="53">
        <f t="shared" si="41"/>
        <v>500000</v>
      </c>
      <c r="S79" s="53">
        <f t="shared" si="41"/>
        <v>500000</v>
      </c>
      <c r="T79" s="53">
        <f t="shared" si="41"/>
        <v>500000</v>
      </c>
      <c r="U79" s="53">
        <f t="shared" si="41"/>
        <v>500000</v>
      </c>
      <c r="V79" s="53">
        <f t="shared" si="41"/>
        <v>500000</v>
      </c>
    </row>
    <row r="81" spans="6:22" x14ac:dyDescent="0.2">
      <c r="G81" s="53" t="s">
        <v>74</v>
      </c>
      <c r="H81" s="58">
        <f>H75-H79</f>
        <v>28993.161229203222</v>
      </c>
      <c r="I81" s="58">
        <f>I75-I79</f>
        <v>59667.529254531604</v>
      </c>
      <c r="J81" s="58">
        <f t="shared" ref="J81:V81" si="42">J75-J79</f>
        <v>92120.591075384524</v>
      </c>
      <c r="K81" s="58">
        <f t="shared" si="42"/>
        <v>126455.48660374398</v>
      </c>
      <c r="L81" s="58">
        <f t="shared" si="42"/>
        <v>162781.3364557866</v>
      </c>
      <c r="M81" s="58">
        <f t="shared" si="42"/>
        <v>201213.5887509255</v>
      </c>
      <c r="N81" s="58">
        <f t="shared" si="42"/>
        <v>241874.38602045306</v>
      </c>
      <c r="O81" s="58">
        <f t="shared" si="42"/>
        <v>284892.95339186746</v>
      </c>
      <c r="P81" s="58">
        <f t="shared" si="42"/>
        <v>330406.0092825793</v>
      </c>
      <c r="Q81" s="58">
        <f t="shared" si="42"/>
        <v>378558.19990823744</v>
      </c>
      <c r="R81" s="58">
        <f t="shared" si="42"/>
        <v>429502.55898659362</v>
      </c>
      <c r="S81" s="58">
        <f t="shared" si="42"/>
        <v>483400.9940979043</v>
      </c>
      <c r="T81" s="58">
        <f t="shared" si="42"/>
        <v>540424.80124758289</v>
      </c>
      <c r="U81" s="58">
        <f t="shared" si="42"/>
        <v>600755.20926644863</v>
      </c>
      <c r="V81" s="58">
        <f t="shared" si="42"/>
        <v>664583.95577874361</v>
      </c>
    </row>
    <row r="84" spans="6:22" x14ac:dyDescent="0.2">
      <c r="G84" s="53">
        <f>$C$17</f>
        <v>1</v>
      </c>
    </row>
    <row r="86" spans="6:22" x14ac:dyDescent="0.2">
      <c r="F86" s="53" t="s">
        <v>40</v>
      </c>
      <c r="G86" s="61">
        <f>HLOOKUP(G84,H72:V81,4)</f>
        <v>528993.16122920322</v>
      </c>
      <c r="H86" s="84">
        <f>G86-G87</f>
        <v>500000</v>
      </c>
    </row>
    <row r="87" spans="6:22" x14ac:dyDescent="0.2">
      <c r="F87" s="53" t="s">
        <v>74</v>
      </c>
      <c r="G87" s="61">
        <f>HLOOKUP(G84,H72:V81,10)</f>
        <v>28993.161229203222</v>
      </c>
      <c r="H87" s="84">
        <f>IF(((G87-H11)*H3)&lt;0,0,((G87-H11)*H3))</f>
        <v>934.76902125658</v>
      </c>
      <c r="I87" s="84">
        <f>G87-H87</f>
        <v>28058.392207946643</v>
      </c>
    </row>
  </sheetData>
  <sheetProtection algorithmName="SHA-512" hashValue="L/MneTF4lmEnsq+jXnkc00XVspDSwbO164IIXObvrmmr9SUxjN+9tqFwD5n6CurqXC+hZO/egn9YHLXq8QOrwA==" saltValue="aLp3AzY5rhB97yc0/8qAbA==" spinCount="100000" sheet="1" objects="1" scenarios="1"/>
  <dataValidations count="1">
    <dataValidation type="list" allowBlank="1" showInputMessage="1" showErrorMessage="1" sqref="C5:D5" xr:uid="{EAC169D5-4C56-6F4D-88CF-1019640205F1}">
      <formula1>$G$8:$G$11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B9AAE-4312-964D-B480-6008D5999DD4}">
  <dimension ref="A1:BI199"/>
  <sheetViews>
    <sheetView showGridLines="0" zoomScale="50" zoomScaleNormal="50" workbookViewId="0">
      <selection sqref="A1:XFD1048576"/>
    </sheetView>
  </sheetViews>
  <sheetFormatPr baseColWidth="10" defaultRowHeight="16" x14ac:dyDescent="0.2"/>
  <cols>
    <col min="1" max="5" width="10.83203125" style="53"/>
    <col min="6" max="6" width="15.83203125" style="53" customWidth="1"/>
    <col min="7" max="7" width="31.1640625" style="53" customWidth="1"/>
    <col min="8" max="8" width="16.6640625" style="53" customWidth="1"/>
    <col min="9" max="9" width="15.33203125" style="53" customWidth="1"/>
    <col min="10" max="10" width="19.33203125" style="53" customWidth="1"/>
    <col min="11" max="12" width="15" style="53" bestFit="1" customWidth="1"/>
    <col min="13" max="13" width="15" style="53" customWidth="1"/>
    <col min="14" max="14" width="16.1640625" style="53" customWidth="1"/>
    <col min="15" max="16" width="14.1640625" style="53" bestFit="1" customWidth="1"/>
    <col min="17" max="17" width="13.5" style="53" bestFit="1" customWidth="1"/>
    <col min="18" max="18" width="14.83203125" style="53" customWidth="1"/>
    <col min="19" max="19" width="14.6640625" style="53" customWidth="1"/>
    <col min="20" max="21" width="13.83203125" style="53" bestFit="1" customWidth="1"/>
    <col min="22" max="24" width="13.1640625" style="53" bestFit="1" customWidth="1"/>
    <col min="25" max="30" width="14.6640625" style="53" bestFit="1" customWidth="1"/>
    <col min="31" max="36" width="14.1640625" style="53" bestFit="1" customWidth="1"/>
    <col min="37" max="37" width="16.33203125" style="53" customWidth="1"/>
    <col min="38" max="41" width="13" style="53" bestFit="1" customWidth="1"/>
    <col min="42" max="43" width="14" style="53" bestFit="1" customWidth="1"/>
    <col min="44" max="52" width="14.1640625" style="53" bestFit="1" customWidth="1"/>
    <col min="53" max="55" width="12" style="53" bestFit="1" customWidth="1"/>
    <col min="56" max="58" width="12.5" style="53" bestFit="1" customWidth="1"/>
    <col min="59" max="61" width="13" style="53" bestFit="1" customWidth="1"/>
    <col min="62" max="16384" width="10.83203125" style="53"/>
  </cols>
  <sheetData>
    <row r="1" spans="6:61" x14ac:dyDescent="0.2">
      <c r="L1" s="53">
        <v>1</v>
      </c>
      <c r="M1" s="53">
        <v>2</v>
      </c>
      <c r="N1" s="53">
        <v>3</v>
      </c>
      <c r="O1" s="53">
        <v>4</v>
      </c>
      <c r="P1" s="53">
        <v>5</v>
      </c>
      <c r="Q1" s="53">
        <v>6</v>
      </c>
      <c r="R1" s="53">
        <v>7</v>
      </c>
      <c r="S1" s="53">
        <v>8</v>
      </c>
      <c r="T1" s="53">
        <v>9</v>
      </c>
      <c r="U1" s="53">
        <v>10</v>
      </c>
      <c r="V1" s="53">
        <v>11</v>
      </c>
      <c r="W1" s="53">
        <v>12</v>
      </c>
      <c r="X1" s="53">
        <v>13</v>
      </c>
      <c r="Y1" s="53">
        <v>14</v>
      </c>
      <c r="Z1" s="53">
        <v>15</v>
      </c>
      <c r="AA1" s="53">
        <v>16</v>
      </c>
      <c r="AB1" s="53">
        <v>17</v>
      </c>
      <c r="AC1" s="53">
        <v>18</v>
      </c>
      <c r="AD1" s="53">
        <v>19</v>
      </c>
      <c r="AE1" s="53">
        <v>20</v>
      </c>
      <c r="AF1" s="53">
        <v>21</v>
      </c>
    </row>
    <row r="2" spans="6:61" x14ac:dyDescent="0.2">
      <c r="L2" s="57">
        <f>G4</f>
        <v>28</v>
      </c>
      <c r="M2" s="4">
        <f>L2+1</f>
        <v>29</v>
      </c>
      <c r="N2" s="4">
        <f t="shared" ref="N2:BI2" si="0">M2+1</f>
        <v>30</v>
      </c>
      <c r="O2" s="4">
        <f t="shared" si="0"/>
        <v>31</v>
      </c>
      <c r="P2" s="4">
        <f t="shared" si="0"/>
        <v>32</v>
      </c>
      <c r="Q2" s="4">
        <f t="shared" si="0"/>
        <v>33</v>
      </c>
      <c r="R2" s="4">
        <f t="shared" si="0"/>
        <v>34</v>
      </c>
      <c r="S2" s="4">
        <f t="shared" si="0"/>
        <v>35</v>
      </c>
      <c r="T2" s="4">
        <f t="shared" si="0"/>
        <v>36</v>
      </c>
      <c r="U2" s="4">
        <f t="shared" si="0"/>
        <v>37</v>
      </c>
      <c r="V2" s="4">
        <f t="shared" si="0"/>
        <v>38</v>
      </c>
      <c r="W2" s="4">
        <f t="shared" si="0"/>
        <v>39</v>
      </c>
      <c r="X2" s="4">
        <f t="shared" si="0"/>
        <v>40</v>
      </c>
      <c r="Y2" s="4">
        <f t="shared" si="0"/>
        <v>41</v>
      </c>
      <c r="Z2" s="4">
        <f t="shared" si="0"/>
        <v>42</v>
      </c>
      <c r="AA2" s="4">
        <f t="shared" si="0"/>
        <v>43</v>
      </c>
      <c r="AB2" s="4">
        <f t="shared" si="0"/>
        <v>44</v>
      </c>
      <c r="AC2" s="4">
        <f t="shared" si="0"/>
        <v>45</v>
      </c>
      <c r="AD2" s="4">
        <f t="shared" si="0"/>
        <v>46</v>
      </c>
      <c r="AE2" s="4">
        <f t="shared" si="0"/>
        <v>47</v>
      </c>
      <c r="AF2" s="4">
        <f t="shared" si="0"/>
        <v>48</v>
      </c>
      <c r="AG2" s="4">
        <f t="shared" si="0"/>
        <v>49</v>
      </c>
      <c r="AH2" s="4">
        <f t="shared" si="0"/>
        <v>50</v>
      </c>
      <c r="AI2" s="4">
        <f t="shared" si="0"/>
        <v>51</v>
      </c>
      <c r="AJ2" s="4">
        <f t="shared" si="0"/>
        <v>52</v>
      </c>
      <c r="AK2" s="4">
        <f t="shared" si="0"/>
        <v>53</v>
      </c>
      <c r="AL2" s="4">
        <f t="shared" si="0"/>
        <v>54</v>
      </c>
      <c r="AM2" s="4">
        <f t="shared" si="0"/>
        <v>55</v>
      </c>
      <c r="AN2" s="4">
        <f t="shared" si="0"/>
        <v>56</v>
      </c>
      <c r="AO2" s="4">
        <f t="shared" si="0"/>
        <v>57</v>
      </c>
      <c r="AP2" s="4">
        <f t="shared" si="0"/>
        <v>58</v>
      </c>
      <c r="AQ2" s="4">
        <f t="shared" si="0"/>
        <v>59</v>
      </c>
      <c r="AR2" s="4">
        <f t="shared" si="0"/>
        <v>60</v>
      </c>
      <c r="AS2" s="4">
        <f t="shared" si="0"/>
        <v>61</v>
      </c>
      <c r="AT2" s="4">
        <f t="shared" si="0"/>
        <v>62</v>
      </c>
      <c r="AU2" s="4">
        <f t="shared" si="0"/>
        <v>63</v>
      </c>
      <c r="AV2" s="4">
        <f t="shared" si="0"/>
        <v>64</v>
      </c>
      <c r="AW2" s="4">
        <f t="shared" si="0"/>
        <v>65</v>
      </c>
      <c r="AX2" s="4">
        <f t="shared" si="0"/>
        <v>66</v>
      </c>
      <c r="AY2" s="4">
        <f t="shared" si="0"/>
        <v>67</v>
      </c>
      <c r="AZ2" s="4">
        <f t="shared" si="0"/>
        <v>68</v>
      </c>
      <c r="BA2" s="4">
        <f t="shared" si="0"/>
        <v>69</v>
      </c>
      <c r="BB2" s="4">
        <f t="shared" si="0"/>
        <v>70</v>
      </c>
      <c r="BC2" s="4">
        <f t="shared" si="0"/>
        <v>71</v>
      </c>
      <c r="BD2" s="4">
        <f t="shared" si="0"/>
        <v>72</v>
      </c>
      <c r="BE2" s="4">
        <f t="shared" si="0"/>
        <v>73</v>
      </c>
      <c r="BF2" s="4">
        <f t="shared" si="0"/>
        <v>74</v>
      </c>
      <c r="BG2" s="4">
        <f t="shared" si="0"/>
        <v>75</v>
      </c>
      <c r="BH2" s="4">
        <f t="shared" si="0"/>
        <v>76</v>
      </c>
      <c r="BI2" s="4">
        <f t="shared" si="0"/>
        <v>77</v>
      </c>
    </row>
    <row r="3" spans="6:61" ht="17" thickBot="1" x14ac:dyDescent="0.25">
      <c r="K3" s="53" t="s">
        <v>32</v>
      </c>
      <c r="L3" s="79">
        <f>G6</f>
        <v>1000</v>
      </c>
      <c r="M3" s="64">
        <f>L3*(1+L5)</f>
        <v>1100</v>
      </c>
      <c r="N3" s="64">
        <f t="shared" ref="N3:BI3" si="1">M3*(1+M5)</f>
        <v>1210</v>
      </c>
      <c r="O3" s="64">
        <f t="shared" si="1"/>
        <v>1331</v>
      </c>
      <c r="P3" s="64">
        <f t="shared" si="1"/>
        <v>1464.1000000000001</v>
      </c>
      <c r="Q3" s="64">
        <f t="shared" si="1"/>
        <v>1610.5100000000002</v>
      </c>
      <c r="R3" s="64">
        <f t="shared" si="1"/>
        <v>1771.5610000000004</v>
      </c>
      <c r="S3" s="64">
        <f t="shared" si="1"/>
        <v>1948.7171000000005</v>
      </c>
      <c r="T3" s="64">
        <f t="shared" si="1"/>
        <v>2143.5888100000006</v>
      </c>
      <c r="U3" s="64">
        <f t="shared" si="1"/>
        <v>2357.9476910000008</v>
      </c>
      <c r="V3" s="64">
        <f t="shared" si="1"/>
        <v>2593.7424601000012</v>
      </c>
      <c r="W3" s="64">
        <f t="shared" si="1"/>
        <v>2853.1167061100014</v>
      </c>
      <c r="X3" s="64">
        <f t="shared" si="1"/>
        <v>3138.4283767210018</v>
      </c>
      <c r="Y3" s="64">
        <f t="shared" si="1"/>
        <v>3452.2712143931021</v>
      </c>
      <c r="Z3" s="64">
        <f t="shared" si="1"/>
        <v>3797.4983358324125</v>
      </c>
      <c r="AA3" s="64">
        <f t="shared" si="1"/>
        <v>4177.248169415654</v>
      </c>
      <c r="AB3" s="64">
        <f t="shared" si="1"/>
        <v>4594.9729863572202</v>
      </c>
      <c r="AC3" s="64">
        <f t="shared" si="1"/>
        <v>5054.4702849929427</v>
      </c>
      <c r="AD3" s="64">
        <f t="shared" si="1"/>
        <v>5559.9173134922376</v>
      </c>
      <c r="AE3" s="64">
        <f t="shared" si="1"/>
        <v>6115.9090448414618</v>
      </c>
      <c r="AF3" s="64">
        <f t="shared" si="1"/>
        <v>6727.4999493256082</v>
      </c>
      <c r="AG3" s="64">
        <f t="shared" si="1"/>
        <v>7400.2499442581693</v>
      </c>
      <c r="AH3" s="64">
        <f t="shared" si="1"/>
        <v>8140.2749386839869</v>
      </c>
      <c r="AI3" s="64">
        <f t="shared" si="1"/>
        <v>8954.3024325523857</v>
      </c>
      <c r="AJ3" s="64">
        <f t="shared" si="1"/>
        <v>9849.7326758076251</v>
      </c>
      <c r="AK3" s="4">
        <f t="shared" si="1"/>
        <v>10834.705943388388</v>
      </c>
      <c r="AL3" s="4">
        <f t="shared" si="1"/>
        <v>11918.176537727228</v>
      </c>
      <c r="AM3" s="4">
        <f t="shared" si="1"/>
        <v>13109.994191499951</v>
      </c>
      <c r="AN3" s="4">
        <f t="shared" si="1"/>
        <v>14420.993610649946</v>
      </c>
      <c r="AO3" s="4">
        <f t="shared" si="1"/>
        <v>15863.092971714943</v>
      </c>
      <c r="AP3" s="4">
        <f t="shared" si="1"/>
        <v>17449.402268886439</v>
      </c>
      <c r="AQ3" s="4">
        <f t="shared" si="1"/>
        <v>19194.342495775083</v>
      </c>
      <c r="AR3" s="4">
        <f t="shared" si="1"/>
        <v>21113.776745352592</v>
      </c>
      <c r="AS3" s="4">
        <f t="shared" si="1"/>
        <v>23225.154419887855</v>
      </c>
      <c r="AT3" s="4">
        <f t="shared" si="1"/>
        <v>25547.669861876642</v>
      </c>
      <c r="AU3" s="4">
        <f t="shared" si="1"/>
        <v>28102.43684806431</v>
      </c>
      <c r="AV3" s="4">
        <f t="shared" si="1"/>
        <v>30912.680532870741</v>
      </c>
      <c r="AW3" s="4">
        <f t="shared" si="1"/>
        <v>34003.948586157821</v>
      </c>
      <c r="AX3" s="4">
        <f t="shared" si="1"/>
        <v>37404.343444773607</v>
      </c>
      <c r="AY3" s="4">
        <f t="shared" si="1"/>
        <v>41144.777789250969</v>
      </c>
      <c r="AZ3" s="4">
        <f t="shared" si="1"/>
        <v>45259.255568176071</v>
      </c>
      <c r="BA3" s="4">
        <f t="shared" si="1"/>
        <v>49785.18112499368</v>
      </c>
      <c r="BB3" s="4">
        <f t="shared" si="1"/>
        <v>54763.699237493056</v>
      </c>
      <c r="BC3" s="4">
        <f t="shared" si="1"/>
        <v>60240.069161242369</v>
      </c>
      <c r="BD3" s="4">
        <f t="shared" si="1"/>
        <v>66264.076077366612</v>
      </c>
      <c r="BE3" s="4">
        <f t="shared" si="1"/>
        <v>72890.483685103274</v>
      </c>
      <c r="BF3" s="4">
        <f t="shared" si="1"/>
        <v>80179.532053613613</v>
      </c>
      <c r="BG3" s="4">
        <f t="shared" si="1"/>
        <v>88197.485258974979</v>
      </c>
      <c r="BH3" s="4">
        <f t="shared" si="1"/>
        <v>97017.233784872486</v>
      </c>
      <c r="BI3" s="4">
        <f t="shared" si="1"/>
        <v>106718.95716335974</v>
      </c>
    </row>
    <row r="4" spans="6:61" x14ac:dyDescent="0.2">
      <c r="F4" s="54" t="s">
        <v>33</v>
      </c>
      <c r="G4" s="55">
        <f>Data8!$C$20</f>
        <v>28</v>
      </c>
      <c r="K4" s="53" t="s">
        <v>34</v>
      </c>
      <c r="L4" s="65">
        <f>G8</f>
        <v>0.08</v>
      </c>
      <c r="M4" s="65">
        <f>L4</f>
        <v>0.08</v>
      </c>
      <c r="N4" s="65">
        <f t="shared" ref="N4:BI7" si="2">M4</f>
        <v>0.08</v>
      </c>
      <c r="O4" s="65">
        <f t="shared" si="2"/>
        <v>0.08</v>
      </c>
      <c r="P4" s="65">
        <f t="shared" si="2"/>
        <v>0.08</v>
      </c>
      <c r="Q4" s="65">
        <f t="shared" si="2"/>
        <v>0.08</v>
      </c>
      <c r="R4" s="65">
        <f t="shared" si="2"/>
        <v>0.08</v>
      </c>
      <c r="S4" s="65">
        <f t="shared" si="2"/>
        <v>0.08</v>
      </c>
      <c r="T4" s="65">
        <f t="shared" si="2"/>
        <v>0.08</v>
      </c>
      <c r="U4" s="65">
        <f t="shared" si="2"/>
        <v>0.08</v>
      </c>
      <c r="V4" s="65">
        <f t="shared" si="2"/>
        <v>0.08</v>
      </c>
      <c r="W4" s="65">
        <f t="shared" si="2"/>
        <v>0.08</v>
      </c>
      <c r="X4" s="65">
        <f t="shared" si="2"/>
        <v>0.08</v>
      </c>
      <c r="Y4" s="65">
        <f t="shared" si="2"/>
        <v>0.08</v>
      </c>
      <c r="Z4" s="65">
        <f t="shared" si="2"/>
        <v>0.08</v>
      </c>
      <c r="AA4" s="65">
        <f t="shared" si="2"/>
        <v>0.08</v>
      </c>
      <c r="AB4" s="65">
        <f t="shared" si="2"/>
        <v>0.08</v>
      </c>
      <c r="AC4" s="65">
        <f t="shared" si="2"/>
        <v>0.08</v>
      </c>
      <c r="AD4" s="65">
        <f t="shared" si="2"/>
        <v>0.08</v>
      </c>
      <c r="AE4" s="65">
        <f t="shared" si="2"/>
        <v>0.08</v>
      </c>
      <c r="AF4" s="65">
        <f t="shared" si="2"/>
        <v>0.08</v>
      </c>
      <c r="AG4" s="65">
        <f t="shared" si="2"/>
        <v>0.08</v>
      </c>
      <c r="AH4" s="65">
        <f t="shared" si="2"/>
        <v>0.08</v>
      </c>
      <c r="AI4" s="65">
        <f t="shared" si="2"/>
        <v>0.08</v>
      </c>
      <c r="AJ4" s="65">
        <f t="shared" si="2"/>
        <v>0.08</v>
      </c>
      <c r="AK4" s="4">
        <f t="shared" si="2"/>
        <v>0.08</v>
      </c>
      <c r="AL4" s="4">
        <f t="shared" si="2"/>
        <v>0.08</v>
      </c>
      <c r="AM4" s="4">
        <f t="shared" si="2"/>
        <v>0.08</v>
      </c>
      <c r="AN4" s="4">
        <f t="shared" si="2"/>
        <v>0.08</v>
      </c>
      <c r="AO4" s="4">
        <f t="shared" si="2"/>
        <v>0.08</v>
      </c>
      <c r="AP4" s="4">
        <f t="shared" si="2"/>
        <v>0.08</v>
      </c>
      <c r="AQ4" s="4">
        <f t="shared" si="2"/>
        <v>0.08</v>
      </c>
      <c r="AR4" s="4">
        <f t="shared" si="2"/>
        <v>0.08</v>
      </c>
      <c r="AS4" s="4">
        <f t="shared" si="2"/>
        <v>0.08</v>
      </c>
      <c r="AT4" s="4">
        <f t="shared" si="2"/>
        <v>0.08</v>
      </c>
      <c r="AU4" s="4">
        <f t="shared" si="2"/>
        <v>0.08</v>
      </c>
      <c r="AV4" s="4">
        <f t="shared" si="2"/>
        <v>0.08</v>
      </c>
      <c r="AW4" s="4">
        <f t="shared" si="2"/>
        <v>0.08</v>
      </c>
      <c r="AX4" s="4">
        <f t="shared" si="2"/>
        <v>0.08</v>
      </c>
      <c r="AY4" s="4">
        <f t="shared" si="2"/>
        <v>0.08</v>
      </c>
      <c r="AZ4" s="4">
        <f t="shared" si="2"/>
        <v>0.08</v>
      </c>
      <c r="BA4" s="4">
        <f t="shared" si="2"/>
        <v>0.08</v>
      </c>
      <c r="BB4" s="4">
        <f t="shared" si="2"/>
        <v>0.08</v>
      </c>
      <c r="BC4" s="4">
        <f t="shared" si="2"/>
        <v>0.08</v>
      </c>
      <c r="BD4" s="4">
        <f t="shared" si="2"/>
        <v>0.08</v>
      </c>
      <c r="BE4" s="4">
        <f t="shared" si="2"/>
        <v>0.08</v>
      </c>
      <c r="BF4" s="4">
        <f t="shared" si="2"/>
        <v>0.08</v>
      </c>
      <c r="BG4" s="4">
        <f t="shared" si="2"/>
        <v>0.08</v>
      </c>
      <c r="BH4" s="4">
        <f t="shared" si="2"/>
        <v>0.08</v>
      </c>
      <c r="BI4" s="4">
        <f t="shared" si="2"/>
        <v>0.08</v>
      </c>
    </row>
    <row r="5" spans="6:61" x14ac:dyDescent="0.2">
      <c r="F5" s="48" t="s">
        <v>35</v>
      </c>
      <c r="G5" s="1">
        <f>Data8!$C$26</f>
        <v>65</v>
      </c>
      <c r="K5" s="53" t="s">
        <v>36</v>
      </c>
      <c r="L5" s="65">
        <f>G9</f>
        <v>0.1</v>
      </c>
      <c r="M5" s="65">
        <f>L5</f>
        <v>0.1</v>
      </c>
      <c r="N5" s="65">
        <f t="shared" si="2"/>
        <v>0.1</v>
      </c>
      <c r="O5" s="65">
        <f t="shared" si="2"/>
        <v>0.1</v>
      </c>
      <c r="P5" s="65">
        <f t="shared" si="2"/>
        <v>0.1</v>
      </c>
      <c r="Q5" s="65">
        <f t="shared" si="2"/>
        <v>0.1</v>
      </c>
      <c r="R5" s="65">
        <f t="shared" si="2"/>
        <v>0.1</v>
      </c>
      <c r="S5" s="65">
        <f t="shared" si="2"/>
        <v>0.1</v>
      </c>
      <c r="T5" s="65">
        <f t="shared" si="2"/>
        <v>0.1</v>
      </c>
      <c r="U5" s="65">
        <f t="shared" si="2"/>
        <v>0.1</v>
      </c>
      <c r="V5" s="65">
        <f t="shared" si="2"/>
        <v>0.1</v>
      </c>
      <c r="W5" s="65">
        <f t="shared" si="2"/>
        <v>0.1</v>
      </c>
      <c r="X5" s="65">
        <f t="shared" si="2"/>
        <v>0.1</v>
      </c>
      <c r="Y5" s="65">
        <f t="shared" si="2"/>
        <v>0.1</v>
      </c>
      <c r="Z5" s="65">
        <f t="shared" si="2"/>
        <v>0.1</v>
      </c>
      <c r="AA5" s="65">
        <f t="shared" si="2"/>
        <v>0.1</v>
      </c>
      <c r="AB5" s="65">
        <f t="shared" si="2"/>
        <v>0.1</v>
      </c>
      <c r="AC5" s="65">
        <f t="shared" si="2"/>
        <v>0.1</v>
      </c>
      <c r="AD5" s="65">
        <f t="shared" si="2"/>
        <v>0.1</v>
      </c>
      <c r="AE5" s="65">
        <f t="shared" si="2"/>
        <v>0.1</v>
      </c>
      <c r="AF5" s="65">
        <f t="shared" si="2"/>
        <v>0.1</v>
      </c>
      <c r="AG5" s="65">
        <f t="shared" si="2"/>
        <v>0.1</v>
      </c>
      <c r="AH5" s="65">
        <f t="shared" si="2"/>
        <v>0.1</v>
      </c>
      <c r="AI5" s="65">
        <f t="shared" si="2"/>
        <v>0.1</v>
      </c>
      <c r="AJ5" s="65">
        <f t="shared" si="2"/>
        <v>0.1</v>
      </c>
      <c r="AK5" s="4">
        <f t="shared" si="2"/>
        <v>0.1</v>
      </c>
      <c r="AL5" s="4">
        <f t="shared" si="2"/>
        <v>0.1</v>
      </c>
      <c r="AM5" s="4">
        <f t="shared" si="2"/>
        <v>0.1</v>
      </c>
      <c r="AN5" s="4">
        <f t="shared" si="2"/>
        <v>0.1</v>
      </c>
      <c r="AO5" s="4">
        <f t="shared" si="2"/>
        <v>0.1</v>
      </c>
      <c r="AP5" s="4">
        <f t="shared" si="2"/>
        <v>0.1</v>
      </c>
      <c r="AQ5" s="4">
        <f t="shared" si="2"/>
        <v>0.1</v>
      </c>
      <c r="AR5" s="4">
        <f t="shared" si="2"/>
        <v>0.1</v>
      </c>
      <c r="AS5" s="4">
        <f t="shared" si="2"/>
        <v>0.1</v>
      </c>
      <c r="AT5" s="4">
        <f t="shared" si="2"/>
        <v>0.1</v>
      </c>
      <c r="AU5" s="4">
        <f t="shared" si="2"/>
        <v>0.1</v>
      </c>
      <c r="AV5" s="4">
        <f t="shared" si="2"/>
        <v>0.1</v>
      </c>
      <c r="AW5" s="4">
        <f t="shared" si="2"/>
        <v>0.1</v>
      </c>
      <c r="AX5" s="4">
        <f t="shared" si="2"/>
        <v>0.1</v>
      </c>
      <c r="AY5" s="4">
        <f t="shared" si="2"/>
        <v>0.1</v>
      </c>
      <c r="AZ5" s="4">
        <f t="shared" si="2"/>
        <v>0.1</v>
      </c>
      <c r="BA5" s="4">
        <f t="shared" si="2"/>
        <v>0.1</v>
      </c>
      <c r="BB5" s="4">
        <f t="shared" si="2"/>
        <v>0.1</v>
      </c>
      <c r="BC5" s="4">
        <f t="shared" si="2"/>
        <v>0.1</v>
      </c>
      <c r="BD5" s="4">
        <f t="shared" si="2"/>
        <v>0.1</v>
      </c>
      <c r="BE5" s="4">
        <f t="shared" si="2"/>
        <v>0.1</v>
      </c>
      <c r="BF5" s="4">
        <f t="shared" si="2"/>
        <v>0.1</v>
      </c>
      <c r="BG5" s="4">
        <f t="shared" si="2"/>
        <v>0.1</v>
      </c>
      <c r="BH5" s="4">
        <f t="shared" si="2"/>
        <v>0.1</v>
      </c>
      <c r="BI5" s="4">
        <f t="shared" si="2"/>
        <v>0.1</v>
      </c>
    </row>
    <row r="6" spans="6:61" x14ac:dyDescent="0.2">
      <c r="F6" s="48" t="s">
        <v>32</v>
      </c>
      <c r="G6" s="1">
        <v>1000</v>
      </c>
      <c r="K6" s="53" t="s">
        <v>37</v>
      </c>
      <c r="L6" s="65">
        <v>0</v>
      </c>
      <c r="M6" s="65">
        <f>L6</f>
        <v>0</v>
      </c>
      <c r="N6" s="65">
        <f t="shared" si="2"/>
        <v>0</v>
      </c>
      <c r="O6" s="65">
        <f t="shared" si="2"/>
        <v>0</v>
      </c>
      <c r="P6" s="65">
        <f t="shared" si="2"/>
        <v>0</v>
      </c>
      <c r="Q6" s="65">
        <f t="shared" si="2"/>
        <v>0</v>
      </c>
      <c r="R6" s="65">
        <f t="shared" si="2"/>
        <v>0</v>
      </c>
      <c r="S6" s="65">
        <f t="shared" si="2"/>
        <v>0</v>
      </c>
      <c r="T6" s="65">
        <f t="shared" si="2"/>
        <v>0</v>
      </c>
      <c r="U6" s="65">
        <f t="shared" si="2"/>
        <v>0</v>
      </c>
      <c r="V6" s="65">
        <f t="shared" si="2"/>
        <v>0</v>
      </c>
      <c r="W6" s="65">
        <f t="shared" si="2"/>
        <v>0</v>
      </c>
      <c r="X6" s="65">
        <f t="shared" si="2"/>
        <v>0</v>
      </c>
      <c r="Y6" s="65">
        <f t="shared" si="2"/>
        <v>0</v>
      </c>
      <c r="Z6" s="65">
        <f t="shared" si="2"/>
        <v>0</v>
      </c>
      <c r="AA6" s="65">
        <f t="shared" si="2"/>
        <v>0</v>
      </c>
      <c r="AB6" s="65">
        <f t="shared" si="2"/>
        <v>0</v>
      </c>
      <c r="AC6" s="65">
        <f t="shared" si="2"/>
        <v>0</v>
      </c>
      <c r="AD6" s="65">
        <f t="shared" si="2"/>
        <v>0</v>
      </c>
      <c r="AE6" s="65">
        <f t="shared" si="2"/>
        <v>0</v>
      </c>
      <c r="AF6" s="65">
        <f t="shared" si="2"/>
        <v>0</v>
      </c>
      <c r="AG6" s="65">
        <f t="shared" si="2"/>
        <v>0</v>
      </c>
      <c r="AH6" s="65">
        <f t="shared" si="2"/>
        <v>0</v>
      </c>
      <c r="AI6" s="65">
        <f t="shared" si="2"/>
        <v>0</v>
      </c>
      <c r="AJ6" s="65">
        <f t="shared" si="2"/>
        <v>0</v>
      </c>
      <c r="AK6" s="4">
        <f t="shared" si="2"/>
        <v>0</v>
      </c>
      <c r="AL6" s="4">
        <f t="shared" si="2"/>
        <v>0</v>
      </c>
      <c r="AM6" s="4">
        <f t="shared" si="2"/>
        <v>0</v>
      </c>
      <c r="AN6" s="4">
        <f t="shared" si="2"/>
        <v>0</v>
      </c>
      <c r="AO6" s="4">
        <f t="shared" si="2"/>
        <v>0</v>
      </c>
      <c r="AP6" s="4">
        <f t="shared" si="2"/>
        <v>0</v>
      </c>
      <c r="AQ6" s="4">
        <f t="shared" si="2"/>
        <v>0</v>
      </c>
      <c r="AR6" s="4">
        <f t="shared" si="2"/>
        <v>0</v>
      </c>
      <c r="AS6" s="4">
        <f t="shared" si="2"/>
        <v>0</v>
      </c>
      <c r="AT6" s="4">
        <f t="shared" si="2"/>
        <v>0</v>
      </c>
      <c r="AU6" s="4">
        <f t="shared" si="2"/>
        <v>0</v>
      </c>
      <c r="AV6" s="4">
        <f t="shared" si="2"/>
        <v>0</v>
      </c>
      <c r="AW6" s="4">
        <f t="shared" si="2"/>
        <v>0</v>
      </c>
      <c r="AX6" s="4">
        <f t="shared" si="2"/>
        <v>0</v>
      </c>
      <c r="AY6" s="4">
        <f t="shared" si="2"/>
        <v>0</v>
      </c>
      <c r="AZ6" s="4">
        <f t="shared" si="2"/>
        <v>0</v>
      </c>
      <c r="BA6" s="4">
        <f t="shared" si="2"/>
        <v>0</v>
      </c>
      <c r="BB6" s="4">
        <f t="shared" si="2"/>
        <v>0</v>
      </c>
      <c r="BC6" s="4">
        <f t="shared" si="2"/>
        <v>0</v>
      </c>
      <c r="BD6" s="4">
        <f t="shared" si="2"/>
        <v>0</v>
      </c>
      <c r="BE6" s="4">
        <f t="shared" si="2"/>
        <v>0</v>
      </c>
      <c r="BF6" s="4">
        <f t="shared" si="2"/>
        <v>0</v>
      </c>
      <c r="BG6" s="4">
        <f t="shared" si="2"/>
        <v>0</v>
      </c>
      <c r="BH6" s="4">
        <f t="shared" si="2"/>
        <v>0</v>
      </c>
      <c r="BI6" s="4">
        <f t="shared" si="2"/>
        <v>0</v>
      </c>
    </row>
    <row r="7" spans="6:61" x14ac:dyDescent="0.2">
      <c r="F7" s="48" t="s">
        <v>38</v>
      </c>
      <c r="G7" s="1"/>
      <c r="K7" s="53" t="s">
        <v>39</v>
      </c>
      <c r="L7" s="65">
        <f>L4-L6</f>
        <v>0.08</v>
      </c>
      <c r="M7" s="65">
        <f>L7</f>
        <v>0.08</v>
      </c>
      <c r="N7" s="65">
        <f t="shared" si="2"/>
        <v>0.08</v>
      </c>
      <c r="O7" s="65">
        <f t="shared" si="2"/>
        <v>0.08</v>
      </c>
      <c r="P7" s="65">
        <f t="shared" si="2"/>
        <v>0.08</v>
      </c>
      <c r="Q7" s="65">
        <f t="shared" si="2"/>
        <v>0.08</v>
      </c>
      <c r="R7" s="65">
        <f t="shared" si="2"/>
        <v>0.08</v>
      </c>
      <c r="S7" s="65">
        <f t="shared" si="2"/>
        <v>0.08</v>
      </c>
      <c r="T7" s="65">
        <f t="shared" si="2"/>
        <v>0.08</v>
      </c>
      <c r="U7" s="65">
        <f t="shared" si="2"/>
        <v>0.08</v>
      </c>
      <c r="V7" s="65">
        <f t="shared" si="2"/>
        <v>0.08</v>
      </c>
      <c r="W7" s="65">
        <f t="shared" si="2"/>
        <v>0.08</v>
      </c>
      <c r="X7" s="65">
        <f t="shared" si="2"/>
        <v>0.08</v>
      </c>
      <c r="Y7" s="65">
        <f t="shared" si="2"/>
        <v>0.08</v>
      </c>
      <c r="Z7" s="65">
        <f t="shared" si="2"/>
        <v>0.08</v>
      </c>
      <c r="AA7" s="65">
        <f t="shared" si="2"/>
        <v>0.08</v>
      </c>
      <c r="AB7" s="65">
        <f t="shared" si="2"/>
        <v>0.08</v>
      </c>
      <c r="AC7" s="65">
        <f t="shared" si="2"/>
        <v>0.08</v>
      </c>
      <c r="AD7" s="65">
        <f t="shared" si="2"/>
        <v>0.08</v>
      </c>
      <c r="AE7" s="65">
        <f t="shared" si="2"/>
        <v>0.08</v>
      </c>
      <c r="AF7" s="65">
        <f t="shared" si="2"/>
        <v>0.08</v>
      </c>
      <c r="AG7" s="65">
        <f t="shared" si="2"/>
        <v>0.08</v>
      </c>
      <c r="AH7" s="65">
        <f t="shared" si="2"/>
        <v>0.08</v>
      </c>
      <c r="AI7" s="65">
        <f t="shared" si="2"/>
        <v>0.08</v>
      </c>
      <c r="AJ7" s="65">
        <f t="shared" si="2"/>
        <v>0.08</v>
      </c>
      <c r="AK7" s="4">
        <f t="shared" si="2"/>
        <v>0.08</v>
      </c>
      <c r="AL7" s="4">
        <f t="shared" si="2"/>
        <v>0.08</v>
      </c>
      <c r="AM7" s="4">
        <f t="shared" si="2"/>
        <v>0.08</v>
      </c>
      <c r="AN7" s="4">
        <f t="shared" si="2"/>
        <v>0.08</v>
      </c>
      <c r="AO7" s="4">
        <f t="shared" si="2"/>
        <v>0.08</v>
      </c>
      <c r="AP7" s="4">
        <f t="shared" si="2"/>
        <v>0.08</v>
      </c>
      <c r="AQ7" s="4">
        <f t="shared" si="2"/>
        <v>0.08</v>
      </c>
      <c r="AR7" s="4">
        <f t="shared" si="2"/>
        <v>0.08</v>
      </c>
      <c r="AS7" s="4">
        <f t="shared" si="2"/>
        <v>0.08</v>
      </c>
      <c r="AT7" s="4">
        <f t="shared" si="2"/>
        <v>0.08</v>
      </c>
      <c r="AU7" s="4">
        <f t="shared" si="2"/>
        <v>0.08</v>
      </c>
      <c r="AV7" s="4">
        <f t="shared" si="2"/>
        <v>0.08</v>
      </c>
      <c r="AW7" s="4">
        <f t="shared" si="2"/>
        <v>0.08</v>
      </c>
      <c r="AX7" s="4">
        <f t="shared" si="2"/>
        <v>0.08</v>
      </c>
      <c r="AY7" s="4">
        <f t="shared" si="2"/>
        <v>0.08</v>
      </c>
      <c r="AZ7" s="4">
        <f t="shared" si="2"/>
        <v>0.08</v>
      </c>
      <c r="BA7" s="4">
        <f t="shared" si="2"/>
        <v>0.08</v>
      </c>
      <c r="BB7" s="4">
        <f t="shared" si="2"/>
        <v>0.08</v>
      </c>
      <c r="BC7" s="4">
        <f t="shared" si="2"/>
        <v>0.08</v>
      </c>
      <c r="BD7" s="4">
        <f t="shared" si="2"/>
        <v>0.08</v>
      </c>
      <c r="BE7" s="4">
        <f t="shared" si="2"/>
        <v>0.08</v>
      </c>
      <c r="BF7" s="4">
        <f t="shared" si="2"/>
        <v>0.08</v>
      </c>
      <c r="BG7" s="4">
        <f t="shared" si="2"/>
        <v>0.08</v>
      </c>
      <c r="BH7" s="4">
        <f t="shared" si="2"/>
        <v>0.08</v>
      </c>
      <c r="BI7" s="4">
        <f t="shared" si="2"/>
        <v>0.08</v>
      </c>
    </row>
    <row r="8" spans="6:61" x14ac:dyDescent="0.2">
      <c r="F8" s="48" t="s">
        <v>34</v>
      </c>
      <c r="G8" s="66">
        <f>Data8!$C$21-Data8!$C$28</f>
        <v>0.08</v>
      </c>
      <c r="K8" s="53" t="s">
        <v>40</v>
      </c>
      <c r="L8" s="80">
        <f>FV(L7/12,12,-L3)</f>
        <v>12449.926021126499</v>
      </c>
      <c r="M8" s="67">
        <f>FV(M7/12,12,-M3,-L8)</f>
        <v>27178.182363909131</v>
      </c>
      <c r="N8" s="67">
        <f t="shared" ref="N8:BI8" si="3">FV(N7/12,12,-N3,-M8)</f>
        <v>44498.368581601215</v>
      </c>
      <c r="O8" s="67">
        <f t="shared" si="3"/>
        <v>64762.562761732283</v>
      </c>
      <c r="P8" s="67">
        <f t="shared" si="3"/>
        <v>88365.76021807779</v>
      </c>
      <c r="Q8" s="67">
        <f t="shared" si="3"/>
        <v>115750.80509113338</v>
      </c>
      <c r="R8" s="67">
        <f t="shared" si="3"/>
        <v>147413.86821818256</v>
      </c>
      <c r="S8" s="67">
        <f t="shared" si="3"/>
        <v>183910.53030798316</v>
      </c>
      <c r="T8" s="67">
        <f t="shared" si="3"/>
        <v>225862.53572446798</v>
      </c>
      <c r="U8" s="67">
        <f t="shared" si="3"/>
        <v>273965.28911052848</v>
      </c>
      <c r="V8" s="67">
        <f t="shared" si="3"/>
        <v>328996.17473517888</v>
      </c>
      <c r="W8" s="67">
        <f t="shared" si="3"/>
        <v>391823.78690046578</v>
      </c>
      <c r="X8" s="67">
        <f t="shared" si="3"/>
        <v>463418.16908143595</v>
      </c>
      <c r="Y8" s="67">
        <f t="shared" si="3"/>
        <v>544862.16978489305</v>
      </c>
      <c r="Z8" s="67">
        <f t="shared" si="3"/>
        <v>637364.03450157354</v>
      </c>
      <c r="AA8" s="67">
        <f t="shared" si="3"/>
        <v>742271.36570315983</v>
      </c>
      <c r="AB8" s="67">
        <f t="shared" si="3"/>
        <v>861086.59672308108</v>
      </c>
      <c r="AC8" s="67">
        <f t="shared" si="3"/>
        <v>995484.14069379843</v>
      </c>
      <c r="AD8" s="67">
        <f t="shared" si="3"/>
        <v>1147329.3926426405</v>
      </c>
      <c r="AE8" s="67">
        <f t="shared" si="3"/>
        <v>1318699.7815379545</v>
      </c>
      <c r="AF8" s="67">
        <f t="shared" si="3"/>
        <v>1511908.0897090118</v>
      </c>
      <c r="AG8" s="67">
        <f t="shared" si="3"/>
        <v>1729528.2798370041</v>
      </c>
      <c r="AH8" s="67">
        <f t="shared" si="3"/>
        <v>1974424.0948513625</v>
      </c>
      <c r="AI8" s="67">
        <f t="shared" si="3"/>
        <v>2249780.7238089601</v>
      </c>
      <c r="AJ8" s="67">
        <f t="shared" si="3"/>
        <v>2559139.857451824</v>
      </c>
      <c r="AK8" s="4">
        <f t="shared" si="3"/>
        <v>2906438.4909276119</v>
      </c>
      <c r="AL8" s="4">
        <f t="shared" si="3"/>
        <v>3296051.8684423966</v>
      </c>
      <c r="AM8" s="4">
        <f t="shared" si="3"/>
        <v>3732841.0057566599</v>
      </c>
      <c r="AN8" s="4">
        <f t="shared" si="3"/>
        <v>4222205.2718290426</v>
      </c>
      <c r="AO8" s="4">
        <f t="shared" si="3"/>
        <v>4770140.5609950246</v>
      </c>
      <c r="AP8" s="4">
        <f t="shared" si="3"/>
        <v>5383303.6423206236</v>
      </c>
      <c r="AQ8" s="4">
        <f t="shared" si="3"/>
        <v>6069083.3337248722</v>
      </c>
      <c r="AR8" s="4">
        <f t="shared" si="3"/>
        <v>6835679.2157039363</v>
      </c>
      <c r="AS8" s="4">
        <f t="shared" si="3"/>
        <v>7692188.6736585526</v>
      </c>
      <c r="AT8" s="4">
        <f t="shared" si="3"/>
        <v>8648703.1396350544</v>
      </c>
      <c r="AU8" s="4">
        <f t="shared" si="3"/>
        <v>9716414.4945211057</v>
      </c>
      <c r="AV8" s="4">
        <f t="shared" si="3"/>
        <v>10907732.691252656</v>
      </c>
      <c r="AW8" s="4">
        <f t="shared" si="3"/>
        <v>12236415.769338634</v>
      </c>
      <c r="AX8" s="4">
        <f t="shared" si="3"/>
        <v>13717713.552041618</v>
      </c>
      <c r="AY8" s="4">
        <f t="shared" si="3"/>
        <v>15368526.451019632</v>
      </c>
      <c r="AZ8" s="4">
        <f t="shared" si="3"/>
        <v>17207580.950407483</v>
      </c>
      <c r="BA8" s="4">
        <f t="shared" si="3"/>
        <v>19255623.504596163</v>
      </c>
      <c r="BB8" s="4">
        <f t="shared" si="3"/>
        <v>21535634.762898751</v>
      </c>
      <c r="BC8" s="4">
        <f t="shared" si="3"/>
        <v>24073066.231571026</v>
      </c>
      <c r="BD8" s="4">
        <f t="shared" si="3"/>
        <v>26896101.701157458</v>
      </c>
      <c r="BE8" s="4">
        <f t="shared" si="3"/>
        <v>30035946.006921824</v>
      </c>
      <c r="BF8" s="4">
        <f t="shared" si="3"/>
        <v>33527143.954469368</v>
      </c>
      <c r="BG8" s="4">
        <f t="shared" si="3"/>
        <v>37407932.534078345</v>
      </c>
      <c r="BH8" s="4">
        <f t="shared" si="3"/>
        <v>41720629.868491456</v>
      </c>
      <c r="BI8" s="4">
        <f t="shared" si="3"/>
        <v>46512064.693010516</v>
      </c>
    </row>
    <row r="9" spans="6:61" x14ac:dyDescent="0.2">
      <c r="F9" s="48" t="s">
        <v>36</v>
      </c>
      <c r="G9" s="2">
        <f>Data8!C25</f>
        <v>0.1</v>
      </c>
      <c r="H9" s="68"/>
      <c r="I9" s="59">
        <f>G8/G9</f>
        <v>0.79999999999999993</v>
      </c>
    </row>
    <row r="10" spans="6:61" x14ac:dyDescent="0.2">
      <c r="F10" s="49" t="s">
        <v>41</v>
      </c>
      <c r="G10" s="2">
        <f>Data8!$C$24</f>
        <v>0.03</v>
      </c>
      <c r="K10" s="53" t="s">
        <v>42</v>
      </c>
      <c r="L10" s="79">
        <f>L3*12</f>
        <v>12000</v>
      </c>
      <c r="M10" s="79">
        <f>(M3*12)+L10</f>
        <v>25200</v>
      </c>
      <c r="N10" s="79">
        <f>(N3*12)+M10</f>
        <v>39720</v>
      </c>
      <c r="O10" s="79">
        <f t="shared" ref="O10:AK10" si="4">(O3*12)+N10</f>
        <v>55692</v>
      </c>
      <c r="P10" s="79">
        <f t="shared" si="4"/>
        <v>73261.2</v>
      </c>
      <c r="Q10" s="79">
        <f t="shared" si="4"/>
        <v>92587.32</v>
      </c>
      <c r="R10" s="79">
        <f t="shared" si="4"/>
        <v>113846.05200000001</v>
      </c>
      <c r="S10" s="79">
        <f t="shared" si="4"/>
        <v>137230.65720000002</v>
      </c>
      <c r="T10" s="79">
        <f t="shared" si="4"/>
        <v>162953.72292000003</v>
      </c>
      <c r="U10" s="79">
        <f t="shared" si="4"/>
        <v>191249.09521200004</v>
      </c>
      <c r="V10" s="79">
        <f t="shared" si="4"/>
        <v>222374.00473320007</v>
      </c>
      <c r="W10" s="79">
        <f t="shared" si="4"/>
        <v>256611.40520652008</v>
      </c>
      <c r="X10" s="79">
        <f t="shared" si="4"/>
        <v>294272.54572717211</v>
      </c>
      <c r="Y10" s="79">
        <f t="shared" si="4"/>
        <v>335699.80029988935</v>
      </c>
      <c r="Z10" s="79">
        <f t="shared" si="4"/>
        <v>381269.78032987833</v>
      </c>
      <c r="AA10" s="79">
        <f t="shared" si="4"/>
        <v>431396.75836286618</v>
      </c>
      <c r="AB10" s="79">
        <f t="shared" si="4"/>
        <v>486536.43419915281</v>
      </c>
      <c r="AC10" s="79">
        <f t="shared" si="4"/>
        <v>547190.07761906809</v>
      </c>
      <c r="AD10" s="79">
        <f t="shared" si="4"/>
        <v>613909.08538097492</v>
      </c>
      <c r="AE10" s="79">
        <f t="shared" si="4"/>
        <v>687299.99391907244</v>
      </c>
      <c r="AF10" s="79">
        <f t="shared" si="4"/>
        <v>768029.9933109798</v>
      </c>
      <c r="AG10" s="79">
        <f t="shared" si="4"/>
        <v>856832.99264207785</v>
      </c>
      <c r="AH10" s="79">
        <f t="shared" si="4"/>
        <v>954516.29190628568</v>
      </c>
      <c r="AI10" s="79">
        <f t="shared" si="4"/>
        <v>1061967.9210969142</v>
      </c>
      <c r="AJ10" s="79">
        <f t="shared" si="4"/>
        <v>1180164.7132066058</v>
      </c>
      <c r="AK10" s="79">
        <f t="shared" si="4"/>
        <v>1310181.1845272663</v>
      </c>
    </row>
    <row r="11" spans="6:61" x14ac:dyDescent="0.2">
      <c r="F11" s="49"/>
      <c r="G11" s="56"/>
      <c r="K11" s="4"/>
      <c r="L11" s="53">
        <v>1</v>
      </c>
      <c r="M11" s="53">
        <v>2</v>
      </c>
      <c r="N11" s="53">
        <v>3</v>
      </c>
      <c r="O11" s="53">
        <v>4</v>
      </c>
      <c r="P11" s="53">
        <v>5</v>
      </c>
      <c r="Q11" s="53">
        <v>6</v>
      </c>
      <c r="R11" s="53">
        <v>7</v>
      </c>
      <c r="S11" s="53">
        <v>8</v>
      </c>
      <c r="T11" s="53">
        <v>9</v>
      </c>
      <c r="U11" s="53">
        <v>10</v>
      </c>
      <c r="AK11" s="57"/>
    </row>
    <row r="12" spans="6:61" x14ac:dyDescent="0.2">
      <c r="F12" s="49"/>
      <c r="G12" s="50"/>
      <c r="L12" s="69">
        <f t="shared" ref="L12:U12" si="5">(L8-L10)/L8</f>
        <v>3.6138850974938463E-2</v>
      </c>
      <c r="M12" s="69">
        <f t="shared" si="5"/>
        <v>7.2785675562175536E-2</v>
      </c>
      <c r="N12" s="69">
        <f t="shared" si="5"/>
        <v>0.10738300602725763</v>
      </c>
      <c r="O12" s="69">
        <f t="shared" si="5"/>
        <v>0.14005873725386314</v>
      </c>
      <c r="P12" s="69">
        <f t="shared" si="5"/>
        <v>0.17093227264498445</v>
      </c>
      <c r="Q12" s="69">
        <f t="shared" si="5"/>
        <v>0.2001151099804119</v>
      </c>
      <c r="R12" s="69">
        <f t="shared" si="5"/>
        <v>0.22771138580055367</v>
      </c>
      <c r="S12" s="69">
        <f t="shared" si="5"/>
        <v>0.25381838130645024</v>
      </c>
      <c r="T12" s="69">
        <f t="shared" si="5"/>
        <v>0.2785269925474097</v>
      </c>
      <c r="U12" s="69">
        <f t="shared" si="5"/>
        <v>0.30192216746537348</v>
      </c>
      <c r="AK12" s="58">
        <f>PMT(0%,65-39,,-AK10)</f>
        <v>50391.584020279472</v>
      </c>
    </row>
    <row r="13" spans="6:61" ht="17" thickBot="1" x14ac:dyDescent="0.25">
      <c r="F13" s="51"/>
      <c r="G13" s="52"/>
      <c r="M13" s="81">
        <f>M12-L12</f>
        <v>3.6646824587237073E-2</v>
      </c>
    </row>
    <row r="14" spans="6:61" ht="21" x14ac:dyDescent="0.25">
      <c r="L14" s="53">
        <f>HLOOKUP(G16-G4,L11:U12,2)</f>
        <v>0.30192216746537348</v>
      </c>
      <c r="M14" s="53">
        <f>I9*L14</f>
        <v>0.24153773397229877</v>
      </c>
      <c r="N14" s="70">
        <f>N32+O30</f>
        <v>7593.1318567131548</v>
      </c>
      <c r="O14" s="53">
        <f>HLOOKUP(G16,L2:AC3,2)</f>
        <v>5054.4702849929427</v>
      </c>
      <c r="Q14" s="53">
        <f>40/1000</f>
        <v>0.04</v>
      </c>
    </row>
    <row r="15" spans="6:61" x14ac:dyDescent="0.2">
      <c r="F15" s="53" t="s">
        <v>43</v>
      </c>
      <c r="G15" s="58">
        <f>N14</f>
        <v>7593.1318567131548</v>
      </c>
      <c r="H15" s="53">
        <f>HLOOKUP(G16-G4,L1:AS3,3)</f>
        <v>6727.4999493256082</v>
      </c>
      <c r="O15" s="82">
        <f>L3*O12</f>
        <v>140.05873725386314</v>
      </c>
    </row>
    <row r="16" spans="6:61" x14ac:dyDescent="0.2">
      <c r="F16" s="53" t="s">
        <v>33</v>
      </c>
      <c r="G16" s="57">
        <v>51</v>
      </c>
      <c r="K16" s="4">
        <f>HLOOKUP(G5-1,L2:BQ8,7)</f>
        <v>10907732.691252656</v>
      </c>
      <c r="O16" s="82">
        <f>O15+O14</f>
        <v>5194.5290222468057</v>
      </c>
    </row>
    <row r="17" spans="1:61" ht="17" thickBot="1" x14ac:dyDescent="0.25">
      <c r="K17" s="4">
        <f>HLOOKUP(G5,L2:BQ8,7)</f>
        <v>12236415.769338634</v>
      </c>
      <c r="L17" s="57">
        <v>2871815</v>
      </c>
    </row>
    <row r="18" spans="1:61" ht="17" thickBot="1" x14ac:dyDescent="0.25">
      <c r="F18" s="53" t="s">
        <v>44</v>
      </c>
      <c r="G18" s="83">
        <f>K17</f>
        <v>12236415.769338634</v>
      </c>
      <c r="H18" s="83">
        <f>K34</f>
        <v>12236415.769338278</v>
      </c>
    </row>
    <row r="19" spans="1:61" x14ac:dyDescent="0.2">
      <c r="F19" s="53" t="s">
        <v>45</v>
      </c>
      <c r="G19" s="57">
        <f>K52</f>
        <v>23562361.27414031</v>
      </c>
      <c r="L19" s="57">
        <f>G4</f>
        <v>28</v>
      </c>
      <c r="M19" s="4">
        <f>L19+1</f>
        <v>29</v>
      </c>
      <c r="N19" s="4">
        <f t="shared" ref="N19:BI19" si="6">M19+1</f>
        <v>30</v>
      </c>
      <c r="O19" s="4">
        <f t="shared" si="6"/>
        <v>31</v>
      </c>
      <c r="P19" s="4">
        <f t="shared" si="6"/>
        <v>32</v>
      </c>
      <c r="Q19" s="4">
        <f t="shared" si="6"/>
        <v>33</v>
      </c>
      <c r="R19" s="4">
        <f t="shared" si="6"/>
        <v>34</v>
      </c>
      <c r="S19" s="4">
        <f t="shared" si="6"/>
        <v>35</v>
      </c>
      <c r="T19" s="4">
        <f t="shared" si="6"/>
        <v>36</v>
      </c>
      <c r="U19" s="4">
        <f t="shared" si="6"/>
        <v>37</v>
      </c>
      <c r="V19" s="4">
        <f t="shared" si="6"/>
        <v>38</v>
      </c>
      <c r="W19" s="4">
        <f t="shared" si="6"/>
        <v>39</v>
      </c>
      <c r="X19" s="4">
        <f t="shared" si="6"/>
        <v>40</v>
      </c>
      <c r="Y19" s="4">
        <f t="shared" si="6"/>
        <v>41</v>
      </c>
      <c r="Z19" s="4">
        <f t="shared" si="6"/>
        <v>42</v>
      </c>
      <c r="AA19" s="4">
        <f t="shared" si="6"/>
        <v>43</v>
      </c>
      <c r="AB19" s="4">
        <f t="shared" si="6"/>
        <v>44</v>
      </c>
      <c r="AC19" s="4">
        <f t="shared" si="6"/>
        <v>45</v>
      </c>
      <c r="AD19" s="4">
        <f t="shared" si="6"/>
        <v>46</v>
      </c>
      <c r="AE19" s="4">
        <f t="shared" si="6"/>
        <v>47</v>
      </c>
      <c r="AF19" s="4">
        <f t="shared" si="6"/>
        <v>48</v>
      </c>
      <c r="AG19" s="4">
        <f t="shared" si="6"/>
        <v>49</v>
      </c>
      <c r="AH19" s="4">
        <f t="shared" si="6"/>
        <v>50</v>
      </c>
      <c r="AI19" s="4">
        <f t="shared" si="6"/>
        <v>51</v>
      </c>
      <c r="AJ19" s="4">
        <f t="shared" si="6"/>
        <v>52</v>
      </c>
      <c r="AK19" s="4">
        <f t="shared" si="6"/>
        <v>53</v>
      </c>
      <c r="AL19" s="4">
        <f t="shared" si="6"/>
        <v>54</v>
      </c>
      <c r="AM19" s="4">
        <f t="shared" si="6"/>
        <v>55</v>
      </c>
      <c r="AN19" s="4">
        <f t="shared" si="6"/>
        <v>56</v>
      </c>
      <c r="AO19" s="4">
        <f t="shared" si="6"/>
        <v>57</v>
      </c>
      <c r="AP19" s="4">
        <f t="shared" si="6"/>
        <v>58</v>
      </c>
      <c r="AQ19" s="4">
        <f t="shared" si="6"/>
        <v>59</v>
      </c>
      <c r="AR19" s="4">
        <f t="shared" si="6"/>
        <v>60</v>
      </c>
      <c r="AS19" s="4">
        <f t="shared" si="6"/>
        <v>61</v>
      </c>
      <c r="AT19" s="4">
        <f t="shared" si="6"/>
        <v>62</v>
      </c>
      <c r="AU19" s="4">
        <f t="shared" si="6"/>
        <v>63</v>
      </c>
      <c r="AV19" s="4">
        <f t="shared" si="6"/>
        <v>64</v>
      </c>
      <c r="AW19" s="4">
        <f t="shared" si="6"/>
        <v>65</v>
      </c>
      <c r="AX19" s="4">
        <f t="shared" si="6"/>
        <v>66</v>
      </c>
      <c r="AY19" s="4">
        <f t="shared" si="6"/>
        <v>67</v>
      </c>
      <c r="AZ19" s="4">
        <f t="shared" si="6"/>
        <v>68</v>
      </c>
      <c r="BA19" s="4">
        <f t="shared" si="6"/>
        <v>69</v>
      </c>
      <c r="BB19" s="4">
        <f t="shared" si="6"/>
        <v>70</v>
      </c>
      <c r="BC19" s="4">
        <f t="shared" si="6"/>
        <v>71</v>
      </c>
      <c r="BD19" s="4">
        <f t="shared" si="6"/>
        <v>72</v>
      </c>
      <c r="BE19" s="4">
        <f t="shared" si="6"/>
        <v>73</v>
      </c>
      <c r="BF19" s="4">
        <f t="shared" si="6"/>
        <v>74</v>
      </c>
      <c r="BG19" s="4">
        <f t="shared" si="6"/>
        <v>75</v>
      </c>
      <c r="BH19" s="4">
        <f t="shared" si="6"/>
        <v>76</v>
      </c>
      <c r="BI19" s="4">
        <f t="shared" si="6"/>
        <v>77</v>
      </c>
    </row>
    <row r="20" spans="1:61" x14ac:dyDescent="0.2">
      <c r="I20" s="53">
        <f>Data8!$C$23</f>
        <v>0</v>
      </c>
      <c r="K20" s="53" t="s">
        <v>32</v>
      </c>
      <c r="L20" s="79">
        <f>G26</f>
        <v>4141.8860682952281</v>
      </c>
      <c r="M20" s="64">
        <f>L20*(1+L22)</f>
        <v>4141.8860682952281</v>
      </c>
      <c r="N20" s="64">
        <f t="shared" ref="N20:BI20" si="7">M20*(1+M22)</f>
        <v>4141.8860682952281</v>
      </c>
      <c r="O20" s="64">
        <f t="shared" si="7"/>
        <v>4141.8860682952281</v>
      </c>
      <c r="P20" s="64">
        <f t="shared" si="7"/>
        <v>4141.8860682952281</v>
      </c>
      <c r="Q20" s="64">
        <f t="shared" si="7"/>
        <v>4141.8860682952281</v>
      </c>
      <c r="R20" s="64">
        <f t="shared" si="7"/>
        <v>4141.8860682952281</v>
      </c>
      <c r="S20" s="64">
        <f t="shared" si="7"/>
        <v>4141.8860682952281</v>
      </c>
      <c r="T20" s="64">
        <f t="shared" si="7"/>
        <v>4141.8860682952281</v>
      </c>
      <c r="U20" s="64">
        <f t="shared" si="7"/>
        <v>4141.8860682952281</v>
      </c>
      <c r="V20" s="64">
        <f t="shared" si="7"/>
        <v>4141.8860682952281</v>
      </c>
      <c r="W20" s="64">
        <f t="shared" si="7"/>
        <v>4141.8860682952281</v>
      </c>
      <c r="X20" s="64">
        <f t="shared" si="7"/>
        <v>4141.8860682952281</v>
      </c>
      <c r="Y20" s="64">
        <f t="shared" si="7"/>
        <v>4141.8860682952281</v>
      </c>
      <c r="Z20" s="64">
        <f t="shared" si="7"/>
        <v>4141.8860682952281</v>
      </c>
      <c r="AA20" s="64">
        <f t="shared" si="7"/>
        <v>4141.8860682952281</v>
      </c>
      <c r="AB20" s="64">
        <f t="shared" si="7"/>
        <v>4141.8860682952281</v>
      </c>
      <c r="AC20" s="64">
        <f t="shared" si="7"/>
        <v>4141.8860682952281</v>
      </c>
      <c r="AD20" s="64">
        <f t="shared" si="7"/>
        <v>4141.8860682952281</v>
      </c>
      <c r="AE20" s="64">
        <f t="shared" si="7"/>
        <v>4141.8860682952281</v>
      </c>
      <c r="AF20" s="64">
        <f t="shared" si="7"/>
        <v>4141.8860682952281</v>
      </c>
      <c r="AG20" s="64">
        <f t="shared" si="7"/>
        <v>4141.8860682952281</v>
      </c>
      <c r="AH20" s="64">
        <f t="shared" si="7"/>
        <v>4141.8860682952281</v>
      </c>
      <c r="AI20" s="64">
        <f t="shared" si="7"/>
        <v>4141.8860682952281</v>
      </c>
      <c r="AJ20" s="64">
        <f t="shared" si="7"/>
        <v>4141.8860682952281</v>
      </c>
      <c r="AK20" s="4">
        <f t="shared" si="7"/>
        <v>4141.8860682952281</v>
      </c>
      <c r="AL20" s="4">
        <f t="shared" si="7"/>
        <v>4141.8860682952281</v>
      </c>
      <c r="AM20" s="4">
        <f t="shared" si="7"/>
        <v>4141.8860682952281</v>
      </c>
      <c r="AN20" s="4">
        <f t="shared" si="7"/>
        <v>4141.8860682952281</v>
      </c>
      <c r="AO20" s="4">
        <f t="shared" si="7"/>
        <v>4141.8860682952281</v>
      </c>
      <c r="AP20" s="4">
        <f t="shared" si="7"/>
        <v>4141.8860682952281</v>
      </c>
      <c r="AQ20" s="4">
        <f t="shared" si="7"/>
        <v>4141.8860682952281</v>
      </c>
      <c r="AR20" s="4">
        <f t="shared" si="7"/>
        <v>4141.8860682952281</v>
      </c>
      <c r="AS20" s="4">
        <f t="shared" si="7"/>
        <v>4141.8860682952281</v>
      </c>
      <c r="AT20" s="4">
        <f t="shared" si="7"/>
        <v>4141.8860682952281</v>
      </c>
      <c r="AU20" s="4">
        <f t="shared" si="7"/>
        <v>4141.8860682952281</v>
      </c>
      <c r="AV20" s="4">
        <f t="shared" si="7"/>
        <v>4141.8860682952281</v>
      </c>
      <c r="AW20" s="4">
        <f t="shared" si="7"/>
        <v>4141.8860682952281</v>
      </c>
      <c r="AX20" s="4">
        <f t="shared" si="7"/>
        <v>4141.8860682952281</v>
      </c>
      <c r="AY20" s="4">
        <f t="shared" si="7"/>
        <v>4141.8860682952281</v>
      </c>
      <c r="AZ20" s="4">
        <f t="shared" si="7"/>
        <v>4141.8860682952281</v>
      </c>
      <c r="BA20" s="4">
        <f t="shared" si="7"/>
        <v>4141.8860682952281</v>
      </c>
      <c r="BB20" s="4">
        <f t="shared" si="7"/>
        <v>4141.8860682952281</v>
      </c>
      <c r="BC20" s="4">
        <f t="shared" si="7"/>
        <v>4141.8860682952281</v>
      </c>
      <c r="BD20" s="4">
        <f t="shared" si="7"/>
        <v>4141.8860682952281</v>
      </c>
      <c r="BE20" s="4">
        <f t="shared" si="7"/>
        <v>4141.8860682952281</v>
      </c>
      <c r="BF20" s="4">
        <f t="shared" si="7"/>
        <v>4141.8860682952281</v>
      </c>
      <c r="BG20" s="4">
        <f t="shared" si="7"/>
        <v>4141.8860682952281</v>
      </c>
      <c r="BH20" s="4">
        <f t="shared" si="7"/>
        <v>4141.8860682952281</v>
      </c>
      <c r="BI20" s="4">
        <f t="shared" si="7"/>
        <v>4141.8860682952281</v>
      </c>
    </row>
    <row r="21" spans="1:61" x14ac:dyDescent="0.2">
      <c r="H21" s="4">
        <f>Data!E37</f>
        <v>23562361.274140302</v>
      </c>
      <c r="I21" s="84">
        <f>H21-I26</f>
        <v>23562361.274140302</v>
      </c>
      <c r="K21" s="53" t="s">
        <v>34</v>
      </c>
      <c r="L21" s="65">
        <f>G8</f>
        <v>0.08</v>
      </c>
      <c r="M21" s="65">
        <f>L21</f>
        <v>0.08</v>
      </c>
      <c r="N21" s="65">
        <f t="shared" ref="N21:BI24" si="8">M21</f>
        <v>0.08</v>
      </c>
      <c r="O21" s="65">
        <f t="shared" si="8"/>
        <v>0.08</v>
      </c>
      <c r="P21" s="65">
        <f t="shared" si="8"/>
        <v>0.08</v>
      </c>
      <c r="Q21" s="65">
        <f t="shared" si="8"/>
        <v>0.08</v>
      </c>
      <c r="R21" s="65">
        <f t="shared" si="8"/>
        <v>0.08</v>
      </c>
      <c r="S21" s="65">
        <f t="shared" si="8"/>
        <v>0.08</v>
      </c>
      <c r="T21" s="65">
        <f t="shared" si="8"/>
        <v>0.08</v>
      </c>
      <c r="U21" s="65">
        <f t="shared" si="8"/>
        <v>0.08</v>
      </c>
      <c r="V21" s="65">
        <f t="shared" si="8"/>
        <v>0.08</v>
      </c>
      <c r="W21" s="65">
        <f t="shared" si="8"/>
        <v>0.08</v>
      </c>
      <c r="X21" s="65">
        <f t="shared" si="8"/>
        <v>0.08</v>
      </c>
      <c r="Y21" s="65">
        <f t="shared" si="8"/>
        <v>0.08</v>
      </c>
      <c r="Z21" s="65">
        <f t="shared" si="8"/>
        <v>0.08</v>
      </c>
      <c r="AA21" s="65">
        <f t="shared" si="8"/>
        <v>0.08</v>
      </c>
      <c r="AB21" s="65">
        <f t="shared" si="8"/>
        <v>0.08</v>
      </c>
      <c r="AC21" s="65">
        <f t="shared" si="8"/>
        <v>0.08</v>
      </c>
      <c r="AD21" s="65">
        <f t="shared" si="8"/>
        <v>0.08</v>
      </c>
      <c r="AE21" s="65">
        <f t="shared" si="8"/>
        <v>0.08</v>
      </c>
      <c r="AF21" s="65">
        <f t="shared" si="8"/>
        <v>0.08</v>
      </c>
      <c r="AG21" s="65">
        <f t="shared" si="8"/>
        <v>0.08</v>
      </c>
      <c r="AH21" s="65">
        <f t="shared" si="8"/>
        <v>0.08</v>
      </c>
      <c r="AI21" s="65">
        <f t="shared" si="8"/>
        <v>0.08</v>
      </c>
      <c r="AJ21" s="65">
        <f t="shared" si="8"/>
        <v>0.08</v>
      </c>
      <c r="AK21" s="65">
        <f>AJ21</f>
        <v>0.08</v>
      </c>
      <c r="AL21" s="4">
        <f t="shared" si="8"/>
        <v>0.08</v>
      </c>
      <c r="AM21" s="4">
        <f t="shared" si="8"/>
        <v>0.08</v>
      </c>
      <c r="AN21" s="4">
        <f t="shared" si="8"/>
        <v>0.08</v>
      </c>
      <c r="AO21" s="4">
        <f t="shared" si="8"/>
        <v>0.08</v>
      </c>
      <c r="AP21" s="4">
        <f t="shared" si="8"/>
        <v>0.08</v>
      </c>
      <c r="AQ21" s="4">
        <f t="shared" si="8"/>
        <v>0.08</v>
      </c>
      <c r="AR21" s="4">
        <f t="shared" si="8"/>
        <v>0.08</v>
      </c>
      <c r="AS21" s="4">
        <f t="shared" si="8"/>
        <v>0.08</v>
      </c>
      <c r="AT21" s="4">
        <f t="shared" si="8"/>
        <v>0.08</v>
      </c>
      <c r="AU21" s="4">
        <f t="shared" si="8"/>
        <v>0.08</v>
      </c>
      <c r="AV21" s="4">
        <f t="shared" si="8"/>
        <v>0.08</v>
      </c>
      <c r="AW21" s="4">
        <f t="shared" si="8"/>
        <v>0.08</v>
      </c>
      <c r="AX21" s="4">
        <f t="shared" si="8"/>
        <v>0.08</v>
      </c>
      <c r="AY21" s="4">
        <f t="shared" si="8"/>
        <v>0.08</v>
      </c>
      <c r="AZ21" s="4">
        <f t="shared" si="8"/>
        <v>0.08</v>
      </c>
      <c r="BA21" s="4">
        <f t="shared" si="8"/>
        <v>0.08</v>
      </c>
      <c r="BB21" s="4">
        <f t="shared" si="8"/>
        <v>0.08</v>
      </c>
      <c r="BC21" s="4">
        <f t="shared" si="8"/>
        <v>0.08</v>
      </c>
      <c r="BD21" s="4">
        <f t="shared" si="8"/>
        <v>0.08</v>
      </c>
      <c r="BE21" s="4">
        <f t="shared" si="8"/>
        <v>0.08</v>
      </c>
      <c r="BF21" s="4">
        <f t="shared" si="8"/>
        <v>0.08</v>
      </c>
      <c r="BG21" s="4">
        <f t="shared" si="8"/>
        <v>0.08</v>
      </c>
      <c r="BH21" s="4">
        <f t="shared" si="8"/>
        <v>0.08</v>
      </c>
      <c r="BI21" s="4">
        <f t="shared" si="8"/>
        <v>0.08</v>
      </c>
    </row>
    <row r="22" spans="1:61" x14ac:dyDescent="0.2">
      <c r="G22" s="58">
        <f>PMT(L24/12,12*(G5-(G4-1)),0,-G18)</f>
        <v>4141.8860682952281</v>
      </c>
      <c r="H22" s="57">
        <f>PMT(L24/12,12*(G5-(G4-1)),0,-I21)</f>
        <v>7975.5884187952433</v>
      </c>
      <c r="K22" s="53" t="s">
        <v>36</v>
      </c>
      <c r="L22" s="65">
        <v>0</v>
      </c>
      <c r="M22" s="65">
        <f>L22</f>
        <v>0</v>
      </c>
      <c r="N22" s="65">
        <f t="shared" si="8"/>
        <v>0</v>
      </c>
      <c r="O22" s="65">
        <f t="shared" si="8"/>
        <v>0</v>
      </c>
      <c r="P22" s="65">
        <f t="shared" si="8"/>
        <v>0</v>
      </c>
      <c r="Q22" s="65">
        <f t="shared" si="8"/>
        <v>0</v>
      </c>
      <c r="R22" s="65">
        <f t="shared" si="8"/>
        <v>0</v>
      </c>
      <c r="S22" s="65">
        <f t="shared" si="8"/>
        <v>0</v>
      </c>
      <c r="T22" s="65">
        <f t="shared" si="8"/>
        <v>0</v>
      </c>
      <c r="U22" s="65">
        <f t="shared" si="8"/>
        <v>0</v>
      </c>
      <c r="V22" s="65">
        <f t="shared" si="8"/>
        <v>0</v>
      </c>
      <c r="W22" s="65">
        <f t="shared" si="8"/>
        <v>0</v>
      </c>
      <c r="X22" s="65">
        <f t="shared" si="8"/>
        <v>0</v>
      </c>
      <c r="Y22" s="65">
        <f t="shared" si="8"/>
        <v>0</v>
      </c>
      <c r="Z22" s="65">
        <f t="shared" si="8"/>
        <v>0</v>
      </c>
      <c r="AA22" s="65">
        <f t="shared" si="8"/>
        <v>0</v>
      </c>
      <c r="AB22" s="65">
        <f t="shared" si="8"/>
        <v>0</v>
      </c>
      <c r="AC22" s="65">
        <f t="shared" si="8"/>
        <v>0</v>
      </c>
      <c r="AD22" s="65">
        <f t="shared" si="8"/>
        <v>0</v>
      </c>
      <c r="AE22" s="65">
        <f t="shared" si="8"/>
        <v>0</v>
      </c>
      <c r="AF22" s="65">
        <f t="shared" si="8"/>
        <v>0</v>
      </c>
      <c r="AG22" s="65">
        <f t="shared" si="8"/>
        <v>0</v>
      </c>
      <c r="AH22" s="65">
        <f t="shared" si="8"/>
        <v>0</v>
      </c>
      <c r="AI22" s="65">
        <f t="shared" si="8"/>
        <v>0</v>
      </c>
      <c r="AJ22" s="65">
        <f t="shared" si="8"/>
        <v>0</v>
      </c>
      <c r="AK22" s="65">
        <f t="shared" si="8"/>
        <v>0</v>
      </c>
      <c r="AL22" s="4">
        <f t="shared" si="8"/>
        <v>0</v>
      </c>
      <c r="AM22" s="4">
        <f t="shared" si="8"/>
        <v>0</v>
      </c>
      <c r="AN22" s="4">
        <f t="shared" si="8"/>
        <v>0</v>
      </c>
      <c r="AO22" s="4">
        <f t="shared" si="8"/>
        <v>0</v>
      </c>
      <c r="AP22" s="4">
        <f t="shared" si="8"/>
        <v>0</v>
      </c>
      <c r="AQ22" s="4">
        <f t="shared" si="8"/>
        <v>0</v>
      </c>
      <c r="AR22" s="4">
        <f t="shared" si="8"/>
        <v>0</v>
      </c>
      <c r="AS22" s="4">
        <f t="shared" si="8"/>
        <v>0</v>
      </c>
      <c r="AT22" s="4">
        <f t="shared" si="8"/>
        <v>0</v>
      </c>
      <c r="AU22" s="4">
        <f t="shared" si="8"/>
        <v>0</v>
      </c>
      <c r="AV22" s="4">
        <f t="shared" si="8"/>
        <v>0</v>
      </c>
      <c r="AW22" s="4">
        <f t="shared" si="8"/>
        <v>0</v>
      </c>
      <c r="AX22" s="4">
        <f t="shared" si="8"/>
        <v>0</v>
      </c>
      <c r="AY22" s="4">
        <f t="shared" si="8"/>
        <v>0</v>
      </c>
      <c r="AZ22" s="4">
        <f t="shared" si="8"/>
        <v>0</v>
      </c>
      <c r="BA22" s="4">
        <f t="shared" si="8"/>
        <v>0</v>
      </c>
      <c r="BB22" s="4">
        <f t="shared" si="8"/>
        <v>0</v>
      </c>
      <c r="BC22" s="4">
        <f t="shared" si="8"/>
        <v>0</v>
      </c>
      <c r="BD22" s="4">
        <f t="shared" si="8"/>
        <v>0</v>
      </c>
      <c r="BE22" s="4">
        <f t="shared" si="8"/>
        <v>0</v>
      </c>
      <c r="BF22" s="4">
        <f t="shared" si="8"/>
        <v>0</v>
      </c>
      <c r="BG22" s="4">
        <f t="shared" si="8"/>
        <v>0</v>
      </c>
      <c r="BH22" s="4">
        <f t="shared" si="8"/>
        <v>0</v>
      </c>
      <c r="BI22" s="4">
        <f t="shared" si="8"/>
        <v>0</v>
      </c>
    </row>
    <row r="23" spans="1:61" x14ac:dyDescent="0.2">
      <c r="G23" s="58">
        <f>FV(L24/12,12*(G5-(G4-1)),-G22)</f>
        <v>12236415.769338289</v>
      </c>
      <c r="H23" s="61">
        <f>H22/G28</f>
        <v>1925.5933860290706</v>
      </c>
      <c r="I23" s="58"/>
      <c r="J23" s="58"/>
      <c r="K23" s="53" t="s">
        <v>37</v>
      </c>
      <c r="L23" s="65">
        <v>0</v>
      </c>
      <c r="M23" s="65">
        <f>L23</f>
        <v>0</v>
      </c>
      <c r="N23" s="65">
        <f t="shared" si="8"/>
        <v>0</v>
      </c>
      <c r="O23" s="65">
        <f t="shared" si="8"/>
        <v>0</v>
      </c>
      <c r="P23" s="65">
        <f t="shared" si="8"/>
        <v>0</v>
      </c>
      <c r="Q23" s="65">
        <f t="shared" si="8"/>
        <v>0</v>
      </c>
      <c r="R23" s="65">
        <f t="shared" si="8"/>
        <v>0</v>
      </c>
      <c r="S23" s="65">
        <f t="shared" si="8"/>
        <v>0</v>
      </c>
      <c r="T23" s="65">
        <f t="shared" si="8"/>
        <v>0</v>
      </c>
      <c r="U23" s="65">
        <f t="shared" si="8"/>
        <v>0</v>
      </c>
      <c r="V23" s="65">
        <f t="shared" si="8"/>
        <v>0</v>
      </c>
      <c r="W23" s="65">
        <f t="shared" si="8"/>
        <v>0</v>
      </c>
      <c r="X23" s="65">
        <f t="shared" si="8"/>
        <v>0</v>
      </c>
      <c r="Y23" s="65">
        <f t="shared" si="8"/>
        <v>0</v>
      </c>
      <c r="Z23" s="65">
        <f t="shared" si="8"/>
        <v>0</v>
      </c>
      <c r="AA23" s="65">
        <f t="shared" si="8"/>
        <v>0</v>
      </c>
      <c r="AB23" s="65">
        <f t="shared" si="8"/>
        <v>0</v>
      </c>
      <c r="AC23" s="65">
        <f t="shared" si="8"/>
        <v>0</v>
      </c>
      <c r="AD23" s="65">
        <f t="shared" si="8"/>
        <v>0</v>
      </c>
      <c r="AE23" s="65">
        <f t="shared" si="8"/>
        <v>0</v>
      </c>
      <c r="AF23" s="65">
        <f t="shared" si="8"/>
        <v>0</v>
      </c>
      <c r="AG23" s="65">
        <f t="shared" si="8"/>
        <v>0</v>
      </c>
      <c r="AH23" s="65">
        <f t="shared" si="8"/>
        <v>0</v>
      </c>
      <c r="AI23" s="65">
        <f t="shared" si="8"/>
        <v>0</v>
      </c>
      <c r="AJ23" s="65">
        <f t="shared" si="8"/>
        <v>0</v>
      </c>
      <c r="AK23" s="65">
        <f t="shared" si="8"/>
        <v>0</v>
      </c>
      <c r="AL23" s="4">
        <f t="shared" si="8"/>
        <v>0</v>
      </c>
      <c r="AM23" s="4">
        <f t="shared" si="8"/>
        <v>0</v>
      </c>
      <c r="AN23" s="4">
        <f t="shared" si="8"/>
        <v>0</v>
      </c>
      <c r="AO23" s="4">
        <f t="shared" si="8"/>
        <v>0</v>
      </c>
      <c r="AP23" s="4">
        <f t="shared" si="8"/>
        <v>0</v>
      </c>
      <c r="AQ23" s="4">
        <f t="shared" si="8"/>
        <v>0</v>
      </c>
      <c r="AR23" s="4">
        <f t="shared" si="8"/>
        <v>0</v>
      </c>
      <c r="AS23" s="4">
        <f t="shared" si="8"/>
        <v>0</v>
      </c>
      <c r="AT23" s="4">
        <f t="shared" si="8"/>
        <v>0</v>
      </c>
      <c r="AU23" s="4">
        <f t="shared" si="8"/>
        <v>0</v>
      </c>
      <c r="AV23" s="4">
        <f t="shared" si="8"/>
        <v>0</v>
      </c>
      <c r="AW23" s="4">
        <f t="shared" si="8"/>
        <v>0</v>
      </c>
      <c r="AX23" s="4">
        <f t="shared" si="8"/>
        <v>0</v>
      </c>
      <c r="AY23" s="4">
        <f t="shared" si="8"/>
        <v>0</v>
      </c>
      <c r="AZ23" s="4">
        <f t="shared" si="8"/>
        <v>0</v>
      </c>
      <c r="BA23" s="4">
        <f t="shared" si="8"/>
        <v>0</v>
      </c>
      <c r="BB23" s="4">
        <f t="shared" si="8"/>
        <v>0</v>
      </c>
      <c r="BC23" s="4">
        <f t="shared" si="8"/>
        <v>0</v>
      </c>
      <c r="BD23" s="4">
        <f t="shared" si="8"/>
        <v>0</v>
      </c>
      <c r="BE23" s="4">
        <f t="shared" si="8"/>
        <v>0</v>
      </c>
      <c r="BF23" s="4">
        <f t="shared" si="8"/>
        <v>0</v>
      </c>
      <c r="BG23" s="4">
        <f t="shared" si="8"/>
        <v>0</v>
      </c>
      <c r="BH23" s="4">
        <f t="shared" si="8"/>
        <v>0</v>
      </c>
      <c r="BI23" s="4">
        <f t="shared" si="8"/>
        <v>0</v>
      </c>
    </row>
    <row r="24" spans="1:61" x14ac:dyDescent="0.2">
      <c r="K24" s="53" t="s">
        <v>39</v>
      </c>
      <c r="L24" s="65">
        <f>L21-L23</f>
        <v>0.08</v>
      </c>
      <c r="M24" s="65">
        <f>L24</f>
        <v>0.08</v>
      </c>
      <c r="N24" s="65">
        <f t="shared" si="8"/>
        <v>0.08</v>
      </c>
      <c r="O24" s="65">
        <f t="shared" si="8"/>
        <v>0.08</v>
      </c>
      <c r="P24" s="65">
        <f t="shared" si="8"/>
        <v>0.08</v>
      </c>
      <c r="Q24" s="65">
        <f t="shared" si="8"/>
        <v>0.08</v>
      </c>
      <c r="R24" s="65">
        <f t="shared" si="8"/>
        <v>0.08</v>
      </c>
      <c r="S24" s="65">
        <f t="shared" si="8"/>
        <v>0.08</v>
      </c>
      <c r="T24" s="65">
        <f t="shared" si="8"/>
        <v>0.08</v>
      </c>
      <c r="U24" s="65">
        <f t="shared" si="8"/>
        <v>0.08</v>
      </c>
      <c r="V24" s="65">
        <f t="shared" si="8"/>
        <v>0.08</v>
      </c>
      <c r="W24" s="65">
        <f t="shared" si="8"/>
        <v>0.08</v>
      </c>
      <c r="X24" s="65">
        <f t="shared" si="8"/>
        <v>0.08</v>
      </c>
      <c r="Y24" s="65">
        <f t="shared" si="8"/>
        <v>0.08</v>
      </c>
      <c r="Z24" s="65">
        <f t="shared" si="8"/>
        <v>0.08</v>
      </c>
      <c r="AA24" s="65">
        <f t="shared" si="8"/>
        <v>0.08</v>
      </c>
      <c r="AB24" s="65">
        <f t="shared" si="8"/>
        <v>0.08</v>
      </c>
      <c r="AC24" s="65">
        <f t="shared" si="8"/>
        <v>0.08</v>
      </c>
      <c r="AD24" s="65">
        <f t="shared" si="8"/>
        <v>0.08</v>
      </c>
      <c r="AE24" s="65">
        <f t="shared" si="8"/>
        <v>0.08</v>
      </c>
      <c r="AF24" s="65">
        <f t="shared" si="8"/>
        <v>0.08</v>
      </c>
      <c r="AG24" s="65">
        <f t="shared" si="8"/>
        <v>0.08</v>
      </c>
      <c r="AH24" s="65">
        <f t="shared" si="8"/>
        <v>0.08</v>
      </c>
      <c r="AI24" s="65">
        <f t="shared" si="8"/>
        <v>0.08</v>
      </c>
      <c r="AJ24" s="65">
        <f t="shared" si="8"/>
        <v>0.08</v>
      </c>
      <c r="AK24" s="65">
        <f t="shared" si="8"/>
        <v>0.08</v>
      </c>
      <c r="AL24" s="4">
        <f t="shared" si="8"/>
        <v>0.08</v>
      </c>
      <c r="AM24" s="4">
        <f t="shared" si="8"/>
        <v>0.08</v>
      </c>
      <c r="AN24" s="4">
        <f t="shared" si="8"/>
        <v>0.08</v>
      </c>
      <c r="AO24" s="4">
        <f t="shared" si="8"/>
        <v>0.08</v>
      </c>
      <c r="AP24" s="4">
        <f t="shared" si="8"/>
        <v>0.08</v>
      </c>
      <c r="AQ24" s="4">
        <f t="shared" si="8"/>
        <v>0.08</v>
      </c>
      <c r="AR24" s="4">
        <f t="shared" si="8"/>
        <v>0.08</v>
      </c>
      <c r="AS24" s="4">
        <f t="shared" si="8"/>
        <v>0.08</v>
      </c>
      <c r="AT24" s="4">
        <f t="shared" si="8"/>
        <v>0.08</v>
      </c>
      <c r="AU24" s="4">
        <f t="shared" si="8"/>
        <v>0.08</v>
      </c>
      <c r="AV24" s="4">
        <f t="shared" si="8"/>
        <v>0.08</v>
      </c>
      <c r="AW24" s="4">
        <f t="shared" si="8"/>
        <v>0.08</v>
      </c>
      <c r="AX24" s="4">
        <f t="shared" si="8"/>
        <v>0.08</v>
      </c>
      <c r="AY24" s="4">
        <f t="shared" si="8"/>
        <v>0.08</v>
      </c>
      <c r="AZ24" s="4">
        <f t="shared" si="8"/>
        <v>0.08</v>
      </c>
      <c r="BA24" s="4">
        <f t="shared" si="8"/>
        <v>0.08</v>
      </c>
      <c r="BB24" s="4">
        <f t="shared" si="8"/>
        <v>0.08</v>
      </c>
      <c r="BC24" s="4">
        <f t="shared" si="8"/>
        <v>0.08</v>
      </c>
      <c r="BD24" s="4">
        <f t="shared" si="8"/>
        <v>0.08</v>
      </c>
      <c r="BE24" s="4">
        <f t="shared" si="8"/>
        <v>0.08</v>
      </c>
      <c r="BF24" s="4">
        <f t="shared" si="8"/>
        <v>0.08</v>
      </c>
      <c r="BG24" s="4">
        <f t="shared" si="8"/>
        <v>0.08</v>
      </c>
      <c r="BH24" s="4">
        <f t="shared" si="8"/>
        <v>0.08</v>
      </c>
      <c r="BI24" s="4">
        <f t="shared" si="8"/>
        <v>0.08</v>
      </c>
    </row>
    <row r="25" spans="1:61" x14ac:dyDescent="0.2">
      <c r="G25" s="57">
        <f>G6</f>
        <v>1000</v>
      </c>
      <c r="I25" s="57"/>
      <c r="K25" s="53" t="s">
        <v>40</v>
      </c>
      <c r="L25" s="80">
        <f>FV(L24/12,12,-L20)</f>
        <v>51566.175138210092</v>
      </c>
      <c r="M25" s="67">
        <f t="shared" ref="M25:BI25" si="9">FV(M24/12,12,-M20,-L25)</f>
        <v>107412.3173808413</v>
      </c>
      <c r="N25" s="67">
        <f t="shared" si="9"/>
        <v>167893.66188671294</v>
      </c>
      <c r="O25" s="67">
        <f t="shared" si="9"/>
        <v>233394.92815762706</v>
      </c>
      <c r="P25" s="67">
        <f t="shared" si="9"/>
        <v>304332.76722429442</v>
      </c>
      <c r="Q25" s="67">
        <f t="shared" si="9"/>
        <v>381158.41194748564</v>
      </c>
      <c r="R25" s="67">
        <f t="shared" si="9"/>
        <v>464360.54729287082</v>
      </c>
      <c r="S25" s="67">
        <f t="shared" si="9"/>
        <v>554468.41883725463</v>
      </c>
      <c r="T25" s="67">
        <f t="shared" si="9"/>
        <v>652055.19927929668</v>
      </c>
      <c r="U25" s="67">
        <f t="shared" si="9"/>
        <v>757741.63436896098</v>
      </c>
      <c r="V25" s="67">
        <f t="shared" si="9"/>
        <v>872199.99144731136</v>
      </c>
      <c r="W25" s="67">
        <f t="shared" si="9"/>
        <v>996158.33571316267</v>
      </c>
      <c r="X25" s="67">
        <f t="shared" si="9"/>
        <v>1130405.1614177553</v>
      </c>
      <c r="Y25" s="67">
        <f t="shared" si="9"/>
        <v>1275794.4074463029</v>
      </c>
      <c r="Z25" s="67">
        <f t="shared" si="9"/>
        <v>1433250.8891903358</v>
      </c>
      <c r="AA25" s="67">
        <f t="shared" si="9"/>
        <v>1603776.181262769</v>
      </c>
      <c r="AB25" s="67">
        <f t="shared" si="9"/>
        <v>1788454.9884754207</v>
      </c>
      <c r="AC25" s="67">
        <f t="shared" si="9"/>
        <v>1988462.0456045219</v>
      </c>
      <c r="AD25" s="67">
        <f t="shared" si="9"/>
        <v>2205069.5898333597</v>
      </c>
      <c r="AE25" s="67">
        <f t="shared" si="9"/>
        <v>2439655.4534039767</v>
      </c>
      <c r="AF25" s="67">
        <f t="shared" si="9"/>
        <v>2693711.8279549689</v>
      </c>
      <c r="AG25" s="67">
        <f t="shared" si="9"/>
        <v>2968854.7562949974</v>
      </c>
      <c r="AH25" s="67">
        <f t="shared" si="9"/>
        <v>3266834.4119888223</v>
      </c>
      <c r="AI25" s="67">
        <f t="shared" si="9"/>
        <v>3589546.2321439064</v>
      </c>
      <c r="AJ25" s="67">
        <f t="shared" si="9"/>
        <v>3939042.9742128165</v>
      </c>
      <c r="AK25" s="4">
        <f t="shared" si="9"/>
        <v>4317547.7735042777</v>
      </c>
      <c r="AL25" s="4">
        <f t="shared" si="9"/>
        <v>4727468.2844612058</v>
      </c>
      <c r="AM25" s="4">
        <f t="shared" si="9"/>
        <v>5171411.9956578417</v>
      </c>
      <c r="AN25" s="4">
        <f t="shared" si="9"/>
        <v>5652202.8159340937</v>
      </c>
      <c r="AO25" s="4">
        <f t="shared" si="9"/>
        <v>6172899.0371708525</v>
      </c>
      <c r="AP25" s="4">
        <f t="shared" si="9"/>
        <v>6736812.7879667962</v>
      </c>
      <c r="AQ25" s="4">
        <f t="shared" si="9"/>
        <v>7347531.1019607764</v>
      </c>
      <c r="AR25" s="4">
        <f t="shared" si="9"/>
        <v>8008938.7348145712</v>
      </c>
      <c r="AS25" s="4">
        <f t="shared" si="9"/>
        <v>8725242.8749939539</v>
      </c>
      <c r="AT25" s="4">
        <f t="shared" si="9"/>
        <v>9500999.9055324029</v>
      </c>
      <c r="AU25" s="4">
        <f t="shared" si="9"/>
        <v>10341144.387008002</v>
      </c>
      <c r="AV25" s="4">
        <f t="shared" si="9"/>
        <v>11251020.446093127</v>
      </c>
      <c r="AW25" s="4">
        <f t="shared" si="9"/>
        <v>12236415.769338278</v>
      </c>
      <c r="AX25" s="4">
        <f t="shared" si="9"/>
        <v>13303598.418423204</v>
      </c>
      <c r="AY25" s="4">
        <f t="shared" si="9"/>
        <v>14459356.701055711</v>
      </c>
      <c r="AZ25" s="4">
        <f t="shared" si="9"/>
        <v>15711042.35113541</v>
      </c>
      <c r="BA25" s="4">
        <f t="shared" si="9"/>
        <v>17066617.292849761</v>
      </c>
      <c r="BB25" s="4">
        <f t="shared" si="9"/>
        <v>18534704.286167022</v>
      </c>
      <c r="BC25" s="4">
        <f t="shared" si="9"/>
        <v>20124641.775880136</v>
      </c>
      <c r="BD25" s="4">
        <f t="shared" si="9"/>
        <v>21846543.293094207</v>
      </c>
      <c r="BE25" s="4">
        <f t="shared" si="9"/>
        <v>23711361.787008151</v>
      </c>
      <c r="BF25" s="4">
        <f t="shared" si="9"/>
        <v>25730959.296202477</v>
      </c>
      <c r="BG25" s="4">
        <f t="shared" si="9"/>
        <v>27918182.402609605</v>
      </c>
      <c r="BH25" s="4">
        <f t="shared" si="9"/>
        <v>30286943.948126517</v>
      </c>
      <c r="BI25" s="4">
        <f t="shared" si="9"/>
        <v>32852311.533665925</v>
      </c>
    </row>
    <row r="26" spans="1:61" x14ac:dyDescent="0.2">
      <c r="G26" s="58">
        <f>G22</f>
        <v>4141.8860682952281</v>
      </c>
      <c r="I26" s="58">
        <f>FV(G8,G5-G4,,-I20)</f>
        <v>0</v>
      </c>
    </row>
    <row r="27" spans="1:61" x14ac:dyDescent="0.2">
      <c r="K27" s="53" t="s">
        <v>42</v>
      </c>
      <c r="L27" s="79">
        <f>L20*12</f>
        <v>49702.632819542734</v>
      </c>
      <c r="M27" s="79">
        <f>(M20*12)+L27</f>
        <v>99405.265639085468</v>
      </c>
      <c r="N27" s="79">
        <f>(N20*12)+M27</f>
        <v>149107.89845862822</v>
      </c>
      <c r="O27" s="79">
        <f t="shared" ref="O27:BI27" si="10">(O20*12)+N27</f>
        <v>198810.53127817094</v>
      </c>
      <c r="P27" s="79">
        <f t="shared" si="10"/>
        <v>248513.16409771366</v>
      </c>
      <c r="Q27" s="79">
        <f t="shared" si="10"/>
        <v>298215.79691725638</v>
      </c>
      <c r="R27" s="79">
        <f t="shared" si="10"/>
        <v>347918.42973679909</v>
      </c>
      <c r="S27" s="79">
        <f t="shared" si="10"/>
        <v>397621.06255634181</v>
      </c>
      <c r="T27" s="79">
        <f t="shared" si="10"/>
        <v>447323.69537588453</v>
      </c>
      <c r="U27" s="79">
        <f t="shared" si="10"/>
        <v>497026.32819542725</v>
      </c>
      <c r="V27" s="79">
        <f t="shared" si="10"/>
        <v>546728.96101496997</v>
      </c>
      <c r="W27" s="79">
        <f t="shared" si="10"/>
        <v>596431.59383451275</v>
      </c>
      <c r="X27" s="79">
        <f t="shared" si="10"/>
        <v>646134.22665405553</v>
      </c>
      <c r="Y27" s="79">
        <f t="shared" si="10"/>
        <v>695836.85947359831</v>
      </c>
      <c r="Z27" s="79">
        <f t="shared" si="10"/>
        <v>745539.49229314108</v>
      </c>
      <c r="AA27" s="79">
        <f t="shared" si="10"/>
        <v>795242.12511268386</v>
      </c>
      <c r="AB27" s="79">
        <f t="shared" si="10"/>
        <v>844944.75793222664</v>
      </c>
      <c r="AC27" s="79">
        <f t="shared" si="10"/>
        <v>894647.39075176942</v>
      </c>
      <c r="AD27" s="79">
        <f t="shared" si="10"/>
        <v>944350.02357131219</v>
      </c>
      <c r="AE27" s="79">
        <f t="shared" si="10"/>
        <v>994052.65639085497</v>
      </c>
      <c r="AF27" s="79">
        <f t="shared" si="10"/>
        <v>1043755.2892103978</v>
      </c>
      <c r="AG27" s="79">
        <f t="shared" si="10"/>
        <v>1093457.9220299404</v>
      </c>
      <c r="AH27" s="79">
        <f t="shared" si="10"/>
        <v>1143160.5548494831</v>
      </c>
      <c r="AI27" s="79">
        <f t="shared" si="10"/>
        <v>1192863.1876690257</v>
      </c>
      <c r="AJ27" s="79">
        <f t="shared" si="10"/>
        <v>1242565.8204885684</v>
      </c>
      <c r="AK27" s="79">
        <f t="shared" si="10"/>
        <v>1292268.4533081111</v>
      </c>
      <c r="AL27" s="79">
        <f t="shared" si="10"/>
        <v>1341971.0861276537</v>
      </c>
      <c r="AM27" s="79">
        <f t="shared" si="10"/>
        <v>1391673.7189471964</v>
      </c>
      <c r="AN27" s="79">
        <f t="shared" si="10"/>
        <v>1441376.351766739</v>
      </c>
      <c r="AO27" s="79">
        <f t="shared" si="10"/>
        <v>1491078.9845862817</v>
      </c>
      <c r="AP27" s="79">
        <f t="shared" si="10"/>
        <v>1540781.6174058244</v>
      </c>
      <c r="AQ27" s="79">
        <f t="shared" si="10"/>
        <v>1590484.250225367</v>
      </c>
      <c r="AR27" s="79">
        <f t="shared" si="10"/>
        <v>1640186.8830449097</v>
      </c>
      <c r="AS27" s="79">
        <f t="shared" si="10"/>
        <v>1689889.5158644523</v>
      </c>
      <c r="AT27" s="79">
        <f t="shared" si="10"/>
        <v>1739592.148683995</v>
      </c>
      <c r="AU27" s="79">
        <f t="shared" si="10"/>
        <v>1789294.7815035377</v>
      </c>
      <c r="AV27" s="79">
        <f t="shared" si="10"/>
        <v>1838997.4143230803</v>
      </c>
      <c r="AW27" s="79">
        <f t="shared" si="10"/>
        <v>1888700.047142623</v>
      </c>
      <c r="AX27" s="79">
        <f t="shared" si="10"/>
        <v>1938402.6799621657</v>
      </c>
      <c r="AY27" s="79">
        <f t="shared" si="10"/>
        <v>1988105.3127817083</v>
      </c>
      <c r="AZ27" s="79">
        <f t="shared" si="10"/>
        <v>2037807.945601251</v>
      </c>
      <c r="BA27" s="79">
        <f t="shared" si="10"/>
        <v>2087510.5784207936</v>
      </c>
      <c r="BB27" s="79">
        <f t="shared" si="10"/>
        <v>2137213.2112403363</v>
      </c>
      <c r="BC27" s="79">
        <f t="shared" si="10"/>
        <v>2186915.844059879</v>
      </c>
      <c r="BD27" s="79">
        <f t="shared" si="10"/>
        <v>2236618.4768794216</v>
      </c>
      <c r="BE27" s="79">
        <f t="shared" si="10"/>
        <v>2286321.1096989643</v>
      </c>
      <c r="BF27" s="79">
        <f t="shared" si="10"/>
        <v>2336023.7425185069</v>
      </c>
      <c r="BG27" s="79">
        <f t="shared" si="10"/>
        <v>2385726.3753380496</v>
      </c>
      <c r="BH27" s="79">
        <f t="shared" si="10"/>
        <v>2435429.0081575923</v>
      </c>
      <c r="BI27" s="79">
        <f t="shared" si="10"/>
        <v>2485131.6409771349</v>
      </c>
    </row>
    <row r="28" spans="1:61" x14ac:dyDescent="0.2">
      <c r="G28" s="85">
        <f>G26/G25</f>
        <v>4.1418860682952285</v>
      </c>
      <c r="K28" s="4"/>
      <c r="AK28" s="57"/>
    </row>
    <row r="29" spans="1:61" x14ac:dyDescent="0.2">
      <c r="G29" s="62">
        <f>L24</f>
        <v>0.08</v>
      </c>
      <c r="L29" s="71"/>
      <c r="M29" s="71"/>
      <c r="N29" s="71"/>
      <c r="R29" s="58">
        <f t="shared" ref="R29:AH29" si="11">PMT(0%,65-39,,-R27)</f>
        <v>13381.478066799966</v>
      </c>
      <c r="S29" s="58">
        <f t="shared" si="11"/>
        <v>15293.117790628532</v>
      </c>
      <c r="T29" s="58">
        <f t="shared" si="11"/>
        <v>17204.757514457098</v>
      </c>
      <c r="U29" s="58">
        <f t="shared" si="11"/>
        <v>19116.397238285663</v>
      </c>
      <c r="V29" s="58">
        <f t="shared" si="11"/>
        <v>21028.036962114231</v>
      </c>
      <c r="W29" s="58">
        <f t="shared" si="11"/>
        <v>22939.676685942799</v>
      </c>
      <c r="X29" s="58">
        <f t="shared" si="11"/>
        <v>24851.316409771367</v>
      </c>
      <c r="Y29" s="58">
        <f t="shared" si="11"/>
        <v>26762.956133599935</v>
      </c>
      <c r="Z29" s="58">
        <f t="shared" si="11"/>
        <v>28674.595857428503</v>
      </c>
      <c r="AA29" s="58">
        <f t="shared" si="11"/>
        <v>30586.235581257071</v>
      </c>
      <c r="AB29" s="58">
        <f t="shared" si="11"/>
        <v>32497.875305085639</v>
      </c>
      <c r="AC29" s="58">
        <f t="shared" si="11"/>
        <v>34409.515028914211</v>
      </c>
      <c r="AD29" s="58">
        <f t="shared" si="11"/>
        <v>36321.154752742776</v>
      </c>
      <c r="AE29" s="58">
        <f t="shared" si="11"/>
        <v>38232.794476571347</v>
      </c>
      <c r="AF29" s="58">
        <f t="shared" si="11"/>
        <v>40144.434200399912</v>
      </c>
      <c r="AG29" s="58">
        <f t="shared" si="11"/>
        <v>42056.073924228476</v>
      </c>
      <c r="AH29" s="58">
        <f t="shared" si="11"/>
        <v>43967.713648057041</v>
      </c>
      <c r="AI29" s="58">
        <f>PMT(0%,65-39,,-AI27)</f>
        <v>45879.353371885605</v>
      </c>
      <c r="AJ29" s="58">
        <f>PMT(0%,65-39,,-AJ27)</f>
        <v>47790.99309571417</v>
      </c>
      <c r="AK29" s="58">
        <f>PMT(0%,G5-(G4-1),,-AK27)</f>
        <v>34007.064560739767</v>
      </c>
      <c r="AL29" s="58">
        <f t="shared" ref="AL29:BE29" si="12">PMT(0%,65-39,,-AL27)</f>
        <v>51614.272543371299</v>
      </c>
      <c r="AM29" s="58">
        <f t="shared" si="12"/>
        <v>53525.912267199863</v>
      </c>
      <c r="AN29" s="58">
        <f t="shared" si="12"/>
        <v>55437.551991028427</v>
      </c>
      <c r="AO29" s="58">
        <f t="shared" si="12"/>
        <v>57349.191714856992</v>
      </c>
      <c r="AP29" s="58">
        <f t="shared" si="12"/>
        <v>59260.831438685549</v>
      </c>
      <c r="AQ29" s="58">
        <f t="shared" si="12"/>
        <v>61172.471162514114</v>
      </c>
      <c r="AR29" s="58">
        <f t="shared" si="12"/>
        <v>63084.110886342678</v>
      </c>
      <c r="AS29" s="58">
        <f t="shared" si="12"/>
        <v>64995.750610171242</v>
      </c>
      <c r="AT29" s="58">
        <f t="shared" si="12"/>
        <v>66907.390333999807</v>
      </c>
      <c r="AU29" s="58">
        <f t="shared" si="12"/>
        <v>68819.030057828379</v>
      </c>
      <c r="AV29" s="58">
        <f t="shared" si="12"/>
        <v>70730.669781656936</v>
      </c>
      <c r="AW29" s="58">
        <f t="shared" si="12"/>
        <v>72642.309505485493</v>
      </c>
      <c r="AX29" s="58">
        <f t="shared" si="12"/>
        <v>74553.949229314065</v>
      </c>
      <c r="AY29" s="58">
        <f t="shared" si="12"/>
        <v>76465.588953142622</v>
      </c>
      <c r="AZ29" s="58">
        <f t="shared" si="12"/>
        <v>78377.228676971194</v>
      </c>
      <c r="BA29" s="58">
        <f t="shared" si="12"/>
        <v>80288.868400799751</v>
      </c>
      <c r="BB29" s="58">
        <f t="shared" si="12"/>
        <v>82200.508124628323</v>
      </c>
      <c r="BC29" s="58">
        <f t="shared" si="12"/>
        <v>84112.14784845688</v>
      </c>
      <c r="BD29" s="58">
        <f t="shared" si="12"/>
        <v>86023.787572285451</v>
      </c>
      <c r="BE29" s="58">
        <f t="shared" si="12"/>
        <v>87935.427296114009</v>
      </c>
      <c r="BF29" s="58">
        <f>PMT(0%,65-39,,-BF27)</f>
        <v>89847.06701994258</v>
      </c>
      <c r="BG29" s="58">
        <f>PMT(0%,65-39,,-BG27)</f>
        <v>91758.706743771138</v>
      </c>
      <c r="BH29" s="58">
        <f>PMT(0%,65-39,,-BH27)</f>
        <v>93670.346467599709</v>
      </c>
      <c r="BI29" s="58">
        <f>PMT(0%,65-39,,-BI27)</f>
        <v>95581.986191428266</v>
      </c>
    </row>
    <row r="30" spans="1:61" x14ac:dyDescent="0.2">
      <c r="A30" s="59">
        <v>0.08</v>
      </c>
      <c r="D30" s="59">
        <v>0.09</v>
      </c>
      <c r="G30" s="59">
        <v>0.1</v>
      </c>
      <c r="K30" s="58">
        <f>AK33</f>
        <v>2910.5145344777279</v>
      </c>
      <c r="M30" s="58">
        <f>K31-L3</f>
        <v>5295.6668238087432</v>
      </c>
      <c r="N30" s="53">
        <f>M30/L3</f>
        <v>5.2956668238087428</v>
      </c>
      <c r="O30" s="86">
        <f>M14*O32</f>
        <v>1477.2228118716928</v>
      </c>
      <c r="R30" s="58">
        <f t="shared" ref="R30:BI30" si="13">R29/12</f>
        <v>1115.1231722333305</v>
      </c>
      <c r="S30" s="58">
        <f t="shared" si="13"/>
        <v>1274.4264825523776</v>
      </c>
      <c r="T30" s="58">
        <f t="shared" si="13"/>
        <v>1433.7297928714249</v>
      </c>
      <c r="U30" s="58">
        <f t="shared" si="13"/>
        <v>1593.0331031904718</v>
      </c>
      <c r="V30" s="58">
        <f t="shared" si="13"/>
        <v>1752.3364135095192</v>
      </c>
      <c r="W30" s="58">
        <f t="shared" si="13"/>
        <v>1911.6397238285665</v>
      </c>
      <c r="X30" s="58">
        <f t="shared" si="13"/>
        <v>2070.9430341476141</v>
      </c>
      <c r="Y30" s="58">
        <f t="shared" si="13"/>
        <v>2230.2463444666614</v>
      </c>
      <c r="Z30" s="58">
        <f t="shared" si="13"/>
        <v>2389.5496547857088</v>
      </c>
      <c r="AA30" s="58">
        <f t="shared" si="13"/>
        <v>2548.8529651047561</v>
      </c>
      <c r="AB30" s="58">
        <f t="shared" si="13"/>
        <v>2708.1562754238034</v>
      </c>
      <c r="AC30" s="58">
        <f t="shared" si="13"/>
        <v>2867.4595857428508</v>
      </c>
      <c r="AD30" s="58">
        <f t="shared" si="13"/>
        <v>3026.7628960618981</v>
      </c>
      <c r="AE30" s="58">
        <f t="shared" si="13"/>
        <v>3186.0662063809455</v>
      </c>
      <c r="AF30" s="58">
        <f t="shared" si="13"/>
        <v>3345.3695166999928</v>
      </c>
      <c r="AG30" s="58">
        <f t="shared" si="13"/>
        <v>3504.6728270190397</v>
      </c>
      <c r="AH30" s="58">
        <f t="shared" si="13"/>
        <v>3663.9761373380866</v>
      </c>
      <c r="AI30" s="58">
        <f t="shared" si="13"/>
        <v>3823.2794476571339</v>
      </c>
      <c r="AJ30" s="58">
        <f t="shared" si="13"/>
        <v>3982.5827579761808</v>
      </c>
      <c r="AK30" s="58">
        <f t="shared" si="13"/>
        <v>2833.9220467283139</v>
      </c>
      <c r="AL30" s="58">
        <f t="shared" si="13"/>
        <v>4301.1893786142746</v>
      </c>
      <c r="AM30" s="58">
        <f t="shared" si="13"/>
        <v>4460.4926889333219</v>
      </c>
      <c r="AN30" s="58">
        <f t="shared" si="13"/>
        <v>4619.7959992523693</v>
      </c>
      <c r="AO30" s="58">
        <f t="shared" si="13"/>
        <v>4779.0993095714157</v>
      </c>
      <c r="AP30" s="58">
        <f t="shared" si="13"/>
        <v>4938.4026198904621</v>
      </c>
      <c r="AQ30" s="58">
        <f t="shared" si="13"/>
        <v>5097.7059302095095</v>
      </c>
      <c r="AR30" s="58">
        <f t="shared" si="13"/>
        <v>5257.0092405285568</v>
      </c>
      <c r="AS30" s="58">
        <f t="shared" si="13"/>
        <v>5416.3125508476032</v>
      </c>
      <c r="AT30" s="58">
        <f t="shared" si="13"/>
        <v>5575.6158611666506</v>
      </c>
      <c r="AU30" s="58">
        <f t="shared" si="13"/>
        <v>5734.9191714856979</v>
      </c>
      <c r="AV30" s="58">
        <f t="shared" si="13"/>
        <v>5894.2224818047443</v>
      </c>
      <c r="AW30" s="58">
        <f t="shared" si="13"/>
        <v>6053.5257921237908</v>
      </c>
      <c r="AX30" s="58">
        <f t="shared" si="13"/>
        <v>6212.829102442839</v>
      </c>
      <c r="AY30" s="58">
        <f t="shared" si="13"/>
        <v>6372.1324127618855</v>
      </c>
      <c r="AZ30" s="58">
        <f t="shared" si="13"/>
        <v>6531.4357230809328</v>
      </c>
      <c r="BA30" s="58">
        <f t="shared" si="13"/>
        <v>6690.7390333999792</v>
      </c>
      <c r="BB30" s="58">
        <f t="shared" si="13"/>
        <v>6850.0423437190266</v>
      </c>
      <c r="BC30" s="58">
        <f t="shared" si="13"/>
        <v>7009.345654038073</v>
      </c>
      <c r="BD30" s="58">
        <f t="shared" si="13"/>
        <v>7168.6489643571213</v>
      </c>
      <c r="BE30" s="58">
        <f t="shared" si="13"/>
        <v>7327.9522746761677</v>
      </c>
      <c r="BF30" s="58">
        <f t="shared" si="13"/>
        <v>7487.255584995215</v>
      </c>
      <c r="BG30" s="58">
        <f t="shared" si="13"/>
        <v>7646.5588953142615</v>
      </c>
      <c r="BH30" s="58">
        <f t="shared" si="13"/>
        <v>7805.8622056333088</v>
      </c>
      <c r="BI30" s="58">
        <f t="shared" si="13"/>
        <v>7965.1655159523552</v>
      </c>
    </row>
    <row r="31" spans="1:61" x14ac:dyDescent="0.2">
      <c r="A31" s="53">
        <v>20</v>
      </c>
      <c r="B31" s="53">
        <v>5.25</v>
      </c>
      <c r="D31" s="53">
        <v>20</v>
      </c>
      <c r="E31" s="53">
        <v>4.565855</v>
      </c>
      <c r="G31" s="53">
        <v>20</v>
      </c>
      <c r="H31" s="53">
        <v>4.0077707504148901</v>
      </c>
      <c r="K31" s="53">
        <f>HLOOKUP(G5,R19:BI33,15)</f>
        <v>6295.6668238087432</v>
      </c>
    </row>
    <row r="32" spans="1:61" x14ac:dyDescent="0.2">
      <c r="A32" s="53">
        <v>21</v>
      </c>
      <c r="B32" s="53">
        <f>B31-C32</f>
        <v>5.125</v>
      </c>
      <c r="C32" s="53">
        <v>0.125</v>
      </c>
      <c r="D32" s="53">
        <v>21</v>
      </c>
      <c r="E32" s="53">
        <f>E31-F32</f>
        <v>4.4658550000000004</v>
      </c>
      <c r="F32" s="53">
        <v>0.1</v>
      </c>
      <c r="G32" s="53">
        <v>21</v>
      </c>
      <c r="H32" s="53">
        <v>3.9330264665999999</v>
      </c>
      <c r="I32" s="53">
        <v>7.3999999999999996E-2</v>
      </c>
      <c r="N32" s="53">
        <f>HLOOKUP(1+(G16-G4),L1:AE3,3)</f>
        <v>6115.9090448414618</v>
      </c>
      <c r="O32" s="53">
        <f>HLOOKUP(G16-G4,L1:AE3,3)</f>
        <v>6115.9090448414618</v>
      </c>
      <c r="R32" s="58">
        <f t="shared" ref="R32:AI32" si="14">PMT(0%,65-40,,-R27)</f>
        <v>13916.737189471964</v>
      </c>
      <c r="S32" s="58">
        <f t="shared" si="14"/>
        <v>15904.842502253672</v>
      </c>
      <c r="T32" s="58">
        <f t="shared" si="14"/>
        <v>17892.947815035383</v>
      </c>
      <c r="U32" s="58">
        <f t="shared" si="14"/>
        <v>19881.053127817089</v>
      </c>
      <c r="V32" s="58">
        <f t="shared" si="14"/>
        <v>21869.1584405988</v>
      </c>
      <c r="W32" s="58">
        <f t="shared" si="14"/>
        <v>23857.26375338051</v>
      </c>
      <c r="X32" s="58">
        <f t="shared" si="14"/>
        <v>25845.36906616222</v>
      </c>
      <c r="Y32" s="58">
        <f t="shared" si="14"/>
        <v>27833.474378943931</v>
      </c>
      <c r="Z32" s="58">
        <f t="shared" si="14"/>
        <v>29821.579691725645</v>
      </c>
      <c r="AA32" s="58">
        <f t="shared" si="14"/>
        <v>31809.685004507355</v>
      </c>
      <c r="AB32" s="58">
        <f t="shared" si="14"/>
        <v>33797.790317289066</v>
      </c>
      <c r="AC32" s="58">
        <f t="shared" si="14"/>
        <v>35785.89563007078</v>
      </c>
      <c r="AD32" s="58">
        <f t="shared" si="14"/>
        <v>37774.000942852486</v>
      </c>
      <c r="AE32" s="58">
        <f t="shared" si="14"/>
        <v>39762.1062556342</v>
      </c>
      <c r="AF32" s="58">
        <f t="shared" si="14"/>
        <v>41750.211568415907</v>
      </c>
      <c r="AG32" s="58">
        <f t="shared" si="14"/>
        <v>43738.316881197614</v>
      </c>
      <c r="AH32" s="58">
        <f t="shared" si="14"/>
        <v>45726.422193979321</v>
      </c>
      <c r="AI32" s="58">
        <f t="shared" si="14"/>
        <v>47714.527506761027</v>
      </c>
      <c r="AJ32" s="58">
        <f>PMT(0%,65-40,,-AJ27)</f>
        <v>49702.632819542734</v>
      </c>
      <c r="AK32" s="58">
        <f>PMT(0%,G5-G4,,-AK27)</f>
        <v>34926.174413732733</v>
      </c>
      <c r="AL32" s="58">
        <f t="shared" ref="AL32:BE32" si="15">PMT(0%,65-40,,-AL27)</f>
        <v>53678.843445106148</v>
      </c>
      <c r="AM32" s="58">
        <f t="shared" si="15"/>
        <v>55666.948757887854</v>
      </c>
      <c r="AN32" s="58">
        <f t="shared" si="15"/>
        <v>57655.054070669561</v>
      </c>
      <c r="AO32" s="58">
        <f t="shared" si="15"/>
        <v>59643.159383451268</v>
      </c>
      <c r="AP32" s="58">
        <f t="shared" si="15"/>
        <v>61631.264696232975</v>
      </c>
      <c r="AQ32" s="58">
        <f t="shared" si="15"/>
        <v>63619.370009014681</v>
      </c>
      <c r="AR32" s="58">
        <f t="shared" si="15"/>
        <v>65607.475321796388</v>
      </c>
      <c r="AS32" s="58">
        <f t="shared" si="15"/>
        <v>67595.580634578087</v>
      </c>
      <c r="AT32" s="58">
        <f t="shared" si="15"/>
        <v>69583.685947359802</v>
      </c>
      <c r="AU32" s="58">
        <f t="shared" si="15"/>
        <v>71571.791260141501</v>
      </c>
      <c r="AV32" s="58">
        <f t="shared" si="15"/>
        <v>73559.896572923215</v>
      </c>
      <c r="AW32" s="58">
        <f t="shared" si="15"/>
        <v>75548.001885704914</v>
      </c>
      <c r="AX32" s="58">
        <f t="shared" si="15"/>
        <v>77536.107198486628</v>
      </c>
      <c r="AY32" s="58">
        <f t="shared" si="15"/>
        <v>79524.212511268328</v>
      </c>
      <c r="AZ32" s="58">
        <f t="shared" si="15"/>
        <v>81512.317824050042</v>
      </c>
      <c r="BA32" s="58">
        <f t="shared" si="15"/>
        <v>83500.423136831741</v>
      </c>
      <c r="BB32" s="58">
        <f t="shared" si="15"/>
        <v>85488.528449613455</v>
      </c>
      <c r="BC32" s="58">
        <f t="shared" si="15"/>
        <v>87476.633762395155</v>
      </c>
      <c r="BD32" s="58">
        <f t="shared" si="15"/>
        <v>89464.739075176869</v>
      </c>
      <c r="BE32" s="58">
        <f t="shared" si="15"/>
        <v>91452.844387958568</v>
      </c>
      <c r="BF32" s="58">
        <f>PMT(0%,65-40,,-BF27)</f>
        <v>93440.949700740282</v>
      </c>
      <c r="BG32" s="58">
        <f>PMT(0%,65-40,,-BG27)</f>
        <v>95429.055013521982</v>
      </c>
      <c r="BH32" s="58">
        <f>PMT(0%,65-40,,-BH27)</f>
        <v>97417.160326303696</v>
      </c>
      <c r="BI32" s="58">
        <f>PMT(0%,65-40,,-BI27)</f>
        <v>99405.265639085395</v>
      </c>
    </row>
    <row r="33" spans="1:61" x14ac:dyDescent="0.2">
      <c r="A33" s="53">
        <v>22</v>
      </c>
      <c r="B33" s="53">
        <f>B32-C33</f>
        <v>5</v>
      </c>
      <c r="C33" s="53">
        <v>0.125</v>
      </c>
      <c r="D33" s="53">
        <v>22</v>
      </c>
      <c r="E33" s="53">
        <f>E32-F33</f>
        <v>4.3658550000000007</v>
      </c>
      <c r="F33" s="53">
        <v>0.1</v>
      </c>
      <c r="G33" s="53">
        <v>22</v>
      </c>
      <c r="H33" s="53">
        <v>3.8582194235429199</v>
      </c>
      <c r="I33" s="53">
        <v>7.3999999999999996E-2</v>
      </c>
      <c r="K33" s="4"/>
      <c r="R33" s="58">
        <f t="shared" ref="R33:BI33" si="16">R32/12</f>
        <v>1159.7280991226637</v>
      </c>
      <c r="S33" s="58">
        <f t="shared" si="16"/>
        <v>1325.4035418544727</v>
      </c>
      <c r="T33" s="58">
        <f t="shared" si="16"/>
        <v>1491.0789845862819</v>
      </c>
      <c r="U33" s="58">
        <f t="shared" si="16"/>
        <v>1656.7544273180908</v>
      </c>
      <c r="V33" s="58">
        <f t="shared" si="16"/>
        <v>1822.4298700499</v>
      </c>
      <c r="W33" s="58">
        <f t="shared" si="16"/>
        <v>1988.1053127817092</v>
      </c>
      <c r="X33" s="58">
        <f t="shared" si="16"/>
        <v>2153.7807555135182</v>
      </c>
      <c r="Y33" s="58">
        <f t="shared" si="16"/>
        <v>2319.4561982453274</v>
      </c>
      <c r="Z33" s="58">
        <f t="shared" si="16"/>
        <v>2485.1316409771371</v>
      </c>
      <c r="AA33" s="58">
        <f t="shared" si="16"/>
        <v>2650.8070837089463</v>
      </c>
      <c r="AB33" s="58">
        <f t="shared" si="16"/>
        <v>2816.4825264407555</v>
      </c>
      <c r="AC33" s="58">
        <f t="shared" si="16"/>
        <v>2982.1579691725651</v>
      </c>
      <c r="AD33" s="58">
        <f t="shared" si="16"/>
        <v>3147.8334119043739</v>
      </c>
      <c r="AE33" s="58">
        <f t="shared" si="16"/>
        <v>3313.5088546361835</v>
      </c>
      <c r="AF33" s="58">
        <f t="shared" si="16"/>
        <v>3479.1842973679923</v>
      </c>
      <c r="AG33" s="58">
        <f t="shared" si="16"/>
        <v>3644.859740099801</v>
      </c>
      <c r="AH33" s="58">
        <f t="shared" si="16"/>
        <v>3810.5351828316102</v>
      </c>
      <c r="AI33" s="58">
        <f t="shared" si="16"/>
        <v>3976.2106255634189</v>
      </c>
      <c r="AJ33" s="58">
        <f t="shared" si="16"/>
        <v>4141.8860682952281</v>
      </c>
      <c r="AK33" s="58">
        <f t="shared" si="16"/>
        <v>2910.5145344777279</v>
      </c>
      <c r="AL33" s="58">
        <f t="shared" si="16"/>
        <v>4473.2369537588456</v>
      </c>
      <c r="AM33" s="58">
        <f t="shared" si="16"/>
        <v>4638.9123964906548</v>
      </c>
      <c r="AN33" s="58">
        <f t="shared" si="16"/>
        <v>4804.5878392224631</v>
      </c>
      <c r="AO33" s="58">
        <f t="shared" si="16"/>
        <v>4970.2632819542723</v>
      </c>
      <c r="AP33" s="58">
        <f t="shared" si="16"/>
        <v>5135.9387246860815</v>
      </c>
      <c r="AQ33" s="58">
        <f t="shared" si="16"/>
        <v>5301.6141674178898</v>
      </c>
      <c r="AR33" s="58">
        <f t="shared" si="16"/>
        <v>5467.289610149699</v>
      </c>
      <c r="AS33" s="58">
        <f t="shared" si="16"/>
        <v>5632.9650528815073</v>
      </c>
      <c r="AT33" s="58">
        <f t="shared" si="16"/>
        <v>5798.6404956133165</v>
      </c>
      <c r="AU33" s="58">
        <f t="shared" si="16"/>
        <v>5964.3159383451248</v>
      </c>
      <c r="AV33" s="58">
        <f t="shared" si="16"/>
        <v>6129.9913810769349</v>
      </c>
      <c r="AW33" s="58">
        <f t="shared" si="16"/>
        <v>6295.6668238087432</v>
      </c>
      <c r="AX33" s="58">
        <f t="shared" si="16"/>
        <v>6461.3422665405524</v>
      </c>
      <c r="AY33" s="58">
        <f t="shared" si="16"/>
        <v>6627.0177092723607</v>
      </c>
      <c r="AZ33" s="58">
        <f t="shared" si="16"/>
        <v>6792.6931520041699</v>
      </c>
      <c r="BA33" s="58">
        <f t="shared" si="16"/>
        <v>6958.3685947359781</v>
      </c>
      <c r="BB33" s="58">
        <f t="shared" si="16"/>
        <v>7124.0440374677883</v>
      </c>
      <c r="BC33" s="58">
        <f t="shared" si="16"/>
        <v>7289.7194801995965</v>
      </c>
      <c r="BD33" s="58">
        <f t="shared" si="16"/>
        <v>7455.3949229314057</v>
      </c>
      <c r="BE33" s="58">
        <f t="shared" si="16"/>
        <v>7621.070365663214</v>
      </c>
      <c r="BF33" s="58">
        <f t="shared" si="16"/>
        <v>7786.7458083950232</v>
      </c>
      <c r="BG33" s="58">
        <f t="shared" si="16"/>
        <v>7952.4212511268315</v>
      </c>
      <c r="BH33" s="58">
        <f t="shared" si="16"/>
        <v>8118.0966938586416</v>
      </c>
      <c r="BI33" s="58">
        <f t="shared" si="16"/>
        <v>8283.772136590449</v>
      </c>
    </row>
    <row r="34" spans="1:61" x14ac:dyDescent="0.2">
      <c r="A34" s="53">
        <v>23</v>
      </c>
      <c r="B34" s="53">
        <f>B33-C34</f>
        <v>4.875</v>
      </c>
      <c r="C34" s="53">
        <v>0.125</v>
      </c>
      <c r="D34" s="53">
        <v>23</v>
      </c>
      <c r="E34" s="53">
        <f>E33-F34</f>
        <v>4.2658550000000011</v>
      </c>
      <c r="F34" s="53">
        <v>0.1</v>
      </c>
      <c r="G34" s="53">
        <v>23</v>
      </c>
      <c r="H34" s="53">
        <f t="shared" ref="H34:H61" si="17">H33-I34</f>
        <v>3.7842194235429201</v>
      </c>
      <c r="I34" s="53">
        <v>7.3999999999999996E-2</v>
      </c>
      <c r="K34" s="4">
        <f>HLOOKUP(G5,L19:BQ25,7)</f>
        <v>12236415.769338278</v>
      </c>
      <c r="M34" s="57">
        <f>G5-G4</f>
        <v>37</v>
      </c>
      <c r="N34" s="53">
        <v>0.115</v>
      </c>
      <c r="O34" s="53">
        <f>N34*M34</f>
        <v>4.2549999999999999</v>
      </c>
    </row>
    <row r="35" spans="1:61" x14ac:dyDescent="0.2">
      <c r="A35" s="53">
        <v>24</v>
      </c>
      <c r="B35" s="53">
        <f>B34-C35</f>
        <v>4.75</v>
      </c>
      <c r="C35" s="53">
        <v>0.125</v>
      </c>
      <c r="D35" s="53">
        <v>24</v>
      </c>
      <c r="E35" s="53">
        <f>E34-F35</f>
        <v>4.1658550000000014</v>
      </c>
      <c r="F35" s="53">
        <v>0.1</v>
      </c>
      <c r="G35" s="53">
        <v>24</v>
      </c>
      <c r="H35" s="53">
        <f t="shared" si="17"/>
        <v>3.7102194235429202</v>
      </c>
      <c r="I35" s="53">
        <v>7.3999999999999996E-2</v>
      </c>
      <c r="M35" s="4">
        <v>1000</v>
      </c>
      <c r="O35" s="57">
        <f>M35*O34</f>
        <v>4255</v>
      </c>
    </row>
    <row r="36" spans="1:61" x14ac:dyDescent="0.2">
      <c r="A36" s="53">
        <v>25</v>
      </c>
      <c r="B36" s="53">
        <f t="shared" ref="B36:B61" si="18">B35-C36</f>
        <v>4.625</v>
      </c>
      <c r="C36" s="53">
        <v>0.125</v>
      </c>
      <c r="D36" s="53">
        <v>25</v>
      </c>
      <c r="E36" s="53">
        <f t="shared" ref="E36:E61" si="19">E35-F36</f>
        <v>4.0658550000000018</v>
      </c>
      <c r="F36" s="53">
        <v>0.1</v>
      </c>
      <c r="G36" s="53">
        <v>25</v>
      </c>
      <c r="H36" s="53">
        <f t="shared" si="17"/>
        <v>3.6362194235429204</v>
      </c>
      <c r="I36" s="53">
        <v>7.3999999999999996E-2</v>
      </c>
    </row>
    <row r="37" spans="1:61" x14ac:dyDescent="0.2">
      <c r="A37" s="53">
        <v>26</v>
      </c>
      <c r="B37" s="53">
        <f t="shared" si="18"/>
        <v>4.5</v>
      </c>
      <c r="C37" s="53">
        <v>0.125</v>
      </c>
      <c r="D37" s="53">
        <v>26</v>
      </c>
      <c r="E37" s="53">
        <f t="shared" si="19"/>
        <v>3.9658550000000017</v>
      </c>
      <c r="F37" s="53">
        <v>0.1</v>
      </c>
      <c r="G37" s="53">
        <v>26</v>
      </c>
      <c r="H37" s="53">
        <f t="shared" si="17"/>
        <v>3.5622194235429205</v>
      </c>
      <c r="I37" s="53">
        <v>7.3999999999999996E-2</v>
      </c>
      <c r="L37" s="57">
        <f>G4</f>
        <v>28</v>
      </c>
      <c r="M37" s="4">
        <f>L37+1</f>
        <v>29</v>
      </c>
      <c r="N37" s="4">
        <f t="shared" ref="N37:BI37" si="20">M37+1</f>
        <v>30</v>
      </c>
      <c r="O37" s="4">
        <f t="shared" si="20"/>
        <v>31</v>
      </c>
      <c r="P37" s="4">
        <f t="shared" si="20"/>
        <v>32</v>
      </c>
      <c r="Q37" s="4">
        <f t="shared" si="20"/>
        <v>33</v>
      </c>
      <c r="R37" s="4">
        <f t="shared" si="20"/>
        <v>34</v>
      </c>
      <c r="S37" s="4">
        <f t="shared" si="20"/>
        <v>35</v>
      </c>
      <c r="T37" s="4">
        <f t="shared" si="20"/>
        <v>36</v>
      </c>
      <c r="U37" s="4">
        <f t="shared" si="20"/>
        <v>37</v>
      </c>
      <c r="V37" s="4">
        <f t="shared" si="20"/>
        <v>38</v>
      </c>
      <c r="W37" s="4">
        <f t="shared" si="20"/>
        <v>39</v>
      </c>
      <c r="X37" s="4">
        <f t="shared" si="20"/>
        <v>40</v>
      </c>
      <c r="Y37" s="4">
        <f t="shared" si="20"/>
        <v>41</v>
      </c>
      <c r="Z37" s="4">
        <f t="shared" si="20"/>
        <v>42</v>
      </c>
      <c r="AA37" s="4">
        <f t="shared" si="20"/>
        <v>43</v>
      </c>
      <c r="AB37" s="4">
        <f t="shared" si="20"/>
        <v>44</v>
      </c>
      <c r="AC37" s="4">
        <f t="shared" si="20"/>
        <v>45</v>
      </c>
      <c r="AD37" s="4">
        <f t="shared" si="20"/>
        <v>46</v>
      </c>
      <c r="AE37" s="4">
        <f t="shared" si="20"/>
        <v>47</v>
      </c>
      <c r="AF37" s="4">
        <f t="shared" si="20"/>
        <v>48</v>
      </c>
      <c r="AG37" s="4">
        <f t="shared" si="20"/>
        <v>49</v>
      </c>
      <c r="AH37" s="4">
        <f t="shared" si="20"/>
        <v>50</v>
      </c>
      <c r="AI37" s="4">
        <f t="shared" si="20"/>
        <v>51</v>
      </c>
      <c r="AJ37" s="4">
        <f t="shared" si="20"/>
        <v>52</v>
      </c>
      <c r="AK37" s="4">
        <f t="shared" si="20"/>
        <v>53</v>
      </c>
      <c r="AL37" s="4">
        <f t="shared" si="20"/>
        <v>54</v>
      </c>
      <c r="AM37" s="4">
        <f t="shared" si="20"/>
        <v>55</v>
      </c>
      <c r="AN37" s="4">
        <f t="shared" si="20"/>
        <v>56</v>
      </c>
      <c r="AO37" s="4">
        <f t="shared" si="20"/>
        <v>57</v>
      </c>
      <c r="AP37" s="4">
        <f t="shared" si="20"/>
        <v>58</v>
      </c>
      <c r="AQ37" s="4">
        <f t="shared" si="20"/>
        <v>59</v>
      </c>
      <c r="AR37" s="4">
        <f t="shared" si="20"/>
        <v>60</v>
      </c>
      <c r="AS37" s="4">
        <f t="shared" si="20"/>
        <v>61</v>
      </c>
      <c r="AT37" s="4">
        <f t="shared" si="20"/>
        <v>62</v>
      </c>
      <c r="AU37" s="4">
        <f t="shared" si="20"/>
        <v>63</v>
      </c>
      <c r="AV37" s="4">
        <f t="shared" si="20"/>
        <v>64</v>
      </c>
      <c r="AW37" s="4">
        <f t="shared" si="20"/>
        <v>65</v>
      </c>
      <c r="AX37" s="4">
        <f t="shared" si="20"/>
        <v>66</v>
      </c>
      <c r="AY37" s="4">
        <f t="shared" si="20"/>
        <v>67</v>
      </c>
      <c r="AZ37" s="4">
        <f t="shared" si="20"/>
        <v>68</v>
      </c>
      <c r="BA37" s="4">
        <f t="shared" si="20"/>
        <v>69</v>
      </c>
      <c r="BB37" s="4">
        <f t="shared" si="20"/>
        <v>70</v>
      </c>
      <c r="BC37" s="4">
        <f t="shared" si="20"/>
        <v>71</v>
      </c>
      <c r="BD37" s="4">
        <f t="shared" si="20"/>
        <v>72</v>
      </c>
      <c r="BE37" s="4">
        <f t="shared" si="20"/>
        <v>73</v>
      </c>
      <c r="BF37" s="4">
        <f t="shared" si="20"/>
        <v>74</v>
      </c>
      <c r="BG37" s="4">
        <f t="shared" si="20"/>
        <v>75</v>
      </c>
      <c r="BH37" s="4">
        <f t="shared" si="20"/>
        <v>76</v>
      </c>
      <c r="BI37" s="4">
        <f t="shared" si="20"/>
        <v>77</v>
      </c>
    </row>
    <row r="38" spans="1:61" x14ac:dyDescent="0.2">
      <c r="A38" s="53">
        <v>27</v>
      </c>
      <c r="B38" s="53">
        <f t="shared" si="18"/>
        <v>4.375</v>
      </c>
      <c r="C38" s="53">
        <v>0.125</v>
      </c>
      <c r="D38" s="53">
        <v>27</v>
      </c>
      <c r="E38" s="53">
        <f t="shared" si="19"/>
        <v>3.8658550000000016</v>
      </c>
      <c r="F38" s="53">
        <v>0.1</v>
      </c>
      <c r="G38" s="53">
        <v>27</v>
      </c>
      <c r="H38" s="53">
        <f t="shared" si="17"/>
        <v>3.4882194235429207</v>
      </c>
      <c r="I38" s="53">
        <v>7.3999999999999996E-2</v>
      </c>
      <c r="K38" s="53" t="s">
        <v>32</v>
      </c>
      <c r="L38" s="79">
        <f>H23</f>
        <v>1925.5933860290706</v>
      </c>
      <c r="M38" s="64">
        <f>L38*(1+L40)</f>
        <v>2118.1527246319779</v>
      </c>
      <c r="N38" s="64">
        <f t="shared" ref="N38:BI38" si="21">M38*(1+M40)</f>
        <v>2329.9679970951761</v>
      </c>
      <c r="O38" s="64">
        <f t="shared" si="21"/>
        <v>2562.9647968046938</v>
      </c>
      <c r="P38" s="64">
        <f t="shared" si="21"/>
        <v>2819.2612764851633</v>
      </c>
      <c r="Q38" s="64">
        <f t="shared" si="21"/>
        <v>3101.18740413368</v>
      </c>
      <c r="R38" s="64">
        <f t="shared" si="21"/>
        <v>3411.3061445470485</v>
      </c>
      <c r="S38" s="64">
        <f t="shared" si="21"/>
        <v>3752.4367590017537</v>
      </c>
      <c r="T38" s="64">
        <f t="shared" si="21"/>
        <v>4127.6804349019294</v>
      </c>
      <c r="U38" s="64">
        <f t="shared" si="21"/>
        <v>4540.4484783921225</v>
      </c>
      <c r="V38" s="64">
        <f t="shared" si="21"/>
        <v>4994.4933262313352</v>
      </c>
      <c r="W38" s="64">
        <f t="shared" si="21"/>
        <v>5493.9426588544693</v>
      </c>
      <c r="X38" s="64">
        <f t="shared" si="21"/>
        <v>6043.3369247399169</v>
      </c>
      <c r="Y38" s="64">
        <f t="shared" si="21"/>
        <v>6647.6706172139093</v>
      </c>
      <c r="Z38" s="64">
        <f t="shared" si="21"/>
        <v>7312.4376789353009</v>
      </c>
      <c r="AA38" s="64">
        <f t="shared" si="21"/>
        <v>8043.6814468288321</v>
      </c>
      <c r="AB38" s="64">
        <f t="shared" si="21"/>
        <v>8848.0495915117153</v>
      </c>
      <c r="AC38" s="64">
        <f t="shared" si="21"/>
        <v>9732.854550662887</v>
      </c>
      <c r="AD38" s="64">
        <f t="shared" si="21"/>
        <v>10706.140005729176</v>
      </c>
      <c r="AE38" s="64">
        <f t="shared" si="21"/>
        <v>11776.754006302095</v>
      </c>
      <c r="AF38" s="64">
        <f t="shared" si="21"/>
        <v>12954.429406932306</v>
      </c>
      <c r="AG38" s="64">
        <f t="shared" si="21"/>
        <v>14249.872347625538</v>
      </c>
      <c r="AH38" s="64">
        <f t="shared" si="21"/>
        <v>15674.859582388093</v>
      </c>
      <c r="AI38" s="64">
        <f t="shared" si="21"/>
        <v>17242.345540626902</v>
      </c>
      <c r="AJ38" s="64">
        <f t="shared" si="21"/>
        <v>18966.580094689594</v>
      </c>
      <c r="AK38" s="4">
        <f t="shared" si="21"/>
        <v>20863.238104158554</v>
      </c>
      <c r="AL38" s="4">
        <f t="shared" si="21"/>
        <v>22949.561914574413</v>
      </c>
      <c r="AM38" s="4">
        <f t="shared" si="21"/>
        <v>25244.518106031857</v>
      </c>
      <c r="AN38" s="4">
        <f t="shared" si="21"/>
        <v>27768.969916635044</v>
      </c>
      <c r="AO38" s="4">
        <f t="shared" si="21"/>
        <v>30545.866908298551</v>
      </c>
      <c r="AP38" s="4">
        <f t="shared" si="21"/>
        <v>33600.453599128406</v>
      </c>
      <c r="AQ38" s="4">
        <f t="shared" si="21"/>
        <v>36960.498959041252</v>
      </c>
      <c r="AR38" s="4">
        <f t="shared" si="21"/>
        <v>40656.54885494538</v>
      </c>
      <c r="AS38" s="4">
        <f t="shared" si="21"/>
        <v>44722.203740439923</v>
      </c>
      <c r="AT38" s="4">
        <f t="shared" si="21"/>
        <v>49194.424114483918</v>
      </c>
      <c r="AU38" s="4">
        <f t="shared" si="21"/>
        <v>54113.866525932317</v>
      </c>
      <c r="AV38" s="4">
        <f t="shared" si="21"/>
        <v>59525.253178525556</v>
      </c>
      <c r="AW38" s="4">
        <f t="shared" si="21"/>
        <v>65477.778496378116</v>
      </c>
      <c r="AX38" s="4">
        <f t="shared" si="21"/>
        <v>72025.556346015932</v>
      </c>
      <c r="AY38" s="4">
        <f t="shared" si="21"/>
        <v>79228.111980617527</v>
      </c>
      <c r="AZ38" s="4">
        <f t="shared" si="21"/>
        <v>87150.923178679281</v>
      </c>
      <c r="BA38" s="4">
        <f t="shared" si="21"/>
        <v>95866.015496547217</v>
      </c>
      <c r="BB38" s="4">
        <f t="shared" si="21"/>
        <v>105452.61704620195</v>
      </c>
      <c r="BC38" s="4">
        <f t="shared" si="21"/>
        <v>115997.87875082216</v>
      </c>
      <c r="BD38" s="4">
        <f t="shared" si="21"/>
        <v>127597.66662590439</v>
      </c>
      <c r="BE38" s="4">
        <f t="shared" si="21"/>
        <v>140357.43328849482</v>
      </c>
      <c r="BF38" s="4">
        <f t="shared" si="21"/>
        <v>154393.17661734432</v>
      </c>
      <c r="BG38" s="4">
        <f t="shared" si="21"/>
        <v>169832.49427907876</v>
      </c>
      <c r="BH38" s="4">
        <f t="shared" si="21"/>
        <v>186815.74370698666</v>
      </c>
      <c r="BI38" s="4">
        <f t="shared" si="21"/>
        <v>205497.31807768534</v>
      </c>
    </row>
    <row r="39" spans="1:61" x14ac:dyDescent="0.2">
      <c r="A39" s="53">
        <v>28</v>
      </c>
      <c r="B39" s="53">
        <f t="shared" si="18"/>
        <v>4.25</v>
      </c>
      <c r="C39" s="53">
        <v>0.125</v>
      </c>
      <c r="D39" s="53">
        <v>28</v>
      </c>
      <c r="E39" s="53">
        <f t="shared" si="19"/>
        <v>3.7658550000000015</v>
      </c>
      <c r="F39" s="53">
        <v>0.1</v>
      </c>
      <c r="G39" s="53">
        <v>28</v>
      </c>
      <c r="H39" s="53">
        <f t="shared" si="17"/>
        <v>3.4142194235429209</v>
      </c>
      <c r="I39" s="53">
        <v>7.3999999999999996E-2</v>
      </c>
      <c r="K39" s="53" t="s">
        <v>34</v>
      </c>
      <c r="L39" s="65">
        <f>G8</f>
        <v>0.08</v>
      </c>
      <c r="M39" s="65">
        <f>L39</f>
        <v>0.08</v>
      </c>
      <c r="N39" s="65">
        <f t="shared" ref="N39:BI40" si="22">M39</f>
        <v>0.08</v>
      </c>
      <c r="O39" s="65">
        <f t="shared" si="22"/>
        <v>0.08</v>
      </c>
      <c r="P39" s="65">
        <f t="shared" si="22"/>
        <v>0.08</v>
      </c>
      <c r="Q39" s="65">
        <f t="shared" si="22"/>
        <v>0.08</v>
      </c>
      <c r="R39" s="65">
        <f t="shared" si="22"/>
        <v>0.08</v>
      </c>
      <c r="S39" s="65">
        <f t="shared" si="22"/>
        <v>0.08</v>
      </c>
      <c r="T39" s="65">
        <f t="shared" si="22"/>
        <v>0.08</v>
      </c>
      <c r="U39" s="65">
        <f t="shared" si="22"/>
        <v>0.08</v>
      </c>
      <c r="V39" s="65">
        <f t="shared" si="22"/>
        <v>0.08</v>
      </c>
      <c r="W39" s="65">
        <f t="shared" si="22"/>
        <v>0.08</v>
      </c>
      <c r="X39" s="65">
        <f t="shared" si="22"/>
        <v>0.08</v>
      </c>
      <c r="Y39" s="65">
        <f t="shared" si="22"/>
        <v>0.08</v>
      </c>
      <c r="Z39" s="65">
        <f t="shared" si="22"/>
        <v>0.08</v>
      </c>
      <c r="AA39" s="65">
        <f t="shared" si="22"/>
        <v>0.08</v>
      </c>
      <c r="AB39" s="65">
        <f t="shared" si="22"/>
        <v>0.08</v>
      </c>
      <c r="AC39" s="65">
        <f t="shared" si="22"/>
        <v>0.08</v>
      </c>
      <c r="AD39" s="65">
        <f t="shared" si="22"/>
        <v>0.08</v>
      </c>
      <c r="AE39" s="65">
        <f t="shared" si="22"/>
        <v>0.08</v>
      </c>
      <c r="AF39" s="65">
        <f t="shared" si="22"/>
        <v>0.08</v>
      </c>
      <c r="AG39" s="65">
        <f t="shared" si="22"/>
        <v>0.08</v>
      </c>
      <c r="AH39" s="65">
        <f t="shared" si="22"/>
        <v>0.08</v>
      </c>
      <c r="AI39" s="65">
        <f t="shared" si="22"/>
        <v>0.08</v>
      </c>
      <c r="AJ39" s="65">
        <f t="shared" si="22"/>
        <v>0.08</v>
      </c>
      <c r="AK39" s="4">
        <f t="shared" si="22"/>
        <v>0.08</v>
      </c>
      <c r="AL39" s="4">
        <f t="shared" si="22"/>
        <v>0.08</v>
      </c>
      <c r="AM39" s="4">
        <f t="shared" si="22"/>
        <v>0.08</v>
      </c>
      <c r="AN39" s="4">
        <f t="shared" si="22"/>
        <v>0.08</v>
      </c>
      <c r="AO39" s="4">
        <f t="shared" si="22"/>
        <v>0.08</v>
      </c>
      <c r="AP39" s="4">
        <f t="shared" si="22"/>
        <v>0.08</v>
      </c>
      <c r="AQ39" s="4">
        <f t="shared" si="22"/>
        <v>0.08</v>
      </c>
      <c r="AR39" s="4">
        <f t="shared" si="22"/>
        <v>0.08</v>
      </c>
      <c r="AS39" s="4">
        <f t="shared" si="22"/>
        <v>0.08</v>
      </c>
      <c r="AT39" s="4">
        <f t="shared" si="22"/>
        <v>0.08</v>
      </c>
      <c r="AU39" s="4">
        <f t="shared" si="22"/>
        <v>0.08</v>
      </c>
      <c r="AV39" s="4">
        <f t="shared" si="22"/>
        <v>0.08</v>
      </c>
      <c r="AW39" s="4">
        <f t="shared" si="22"/>
        <v>0.08</v>
      </c>
      <c r="AX39" s="4">
        <f t="shared" si="22"/>
        <v>0.08</v>
      </c>
      <c r="AY39" s="4">
        <f t="shared" si="22"/>
        <v>0.08</v>
      </c>
      <c r="AZ39" s="4">
        <f t="shared" si="22"/>
        <v>0.08</v>
      </c>
      <c r="BA39" s="4">
        <f t="shared" si="22"/>
        <v>0.08</v>
      </c>
      <c r="BB39" s="4">
        <f t="shared" si="22"/>
        <v>0.08</v>
      </c>
      <c r="BC39" s="4">
        <f t="shared" si="22"/>
        <v>0.08</v>
      </c>
      <c r="BD39" s="4">
        <f t="shared" si="22"/>
        <v>0.08</v>
      </c>
      <c r="BE39" s="4">
        <f t="shared" si="22"/>
        <v>0.08</v>
      </c>
      <c r="BF39" s="4">
        <f t="shared" si="22"/>
        <v>0.08</v>
      </c>
      <c r="BG39" s="4">
        <f t="shared" si="22"/>
        <v>0.08</v>
      </c>
      <c r="BH39" s="4">
        <f t="shared" si="22"/>
        <v>0.08</v>
      </c>
      <c r="BI39" s="4">
        <f t="shared" si="22"/>
        <v>0.08</v>
      </c>
    </row>
    <row r="40" spans="1:61" x14ac:dyDescent="0.2">
      <c r="A40" s="53">
        <v>29</v>
      </c>
      <c r="B40" s="53">
        <f t="shared" si="18"/>
        <v>4.125</v>
      </c>
      <c r="C40" s="53">
        <v>0.125</v>
      </c>
      <c r="D40" s="53">
        <v>29</v>
      </c>
      <c r="E40" s="53">
        <f t="shared" si="19"/>
        <v>3.6658550000000014</v>
      </c>
      <c r="F40" s="53">
        <v>0.1</v>
      </c>
      <c r="G40" s="53">
        <v>29</v>
      </c>
      <c r="H40" s="53">
        <f t="shared" si="17"/>
        <v>3.340219423542921</v>
      </c>
      <c r="I40" s="53">
        <v>7.3999999999999996E-2</v>
      </c>
      <c r="K40" s="53" t="s">
        <v>36</v>
      </c>
      <c r="L40" s="65">
        <f>G9</f>
        <v>0.1</v>
      </c>
      <c r="M40" s="65">
        <f>L40</f>
        <v>0.1</v>
      </c>
      <c r="N40" s="65">
        <f t="shared" si="22"/>
        <v>0.1</v>
      </c>
      <c r="O40" s="65">
        <f t="shared" si="22"/>
        <v>0.1</v>
      </c>
      <c r="P40" s="65">
        <f t="shared" si="22"/>
        <v>0.1</v>
      </c>
      <c r="Q40" s="65">
        <f t="shared" si="22"/>
        <v>0.1</v>
      </c>
      <c r="R40" s="65">
        <f t="shared" si="22"/>
        <v>0.1</v>
      </c>
      <c r="S40" s="65">
        <f t="shared" si="22"/>
        <v>0.1</v>
      </c>
      <c r="T40" s="65">
        <f t="shared" si="22"/>
        <v>0.1</v>
      </c>
      <c r="U40" s="65">
        <f t="shared" si="22"/>
        <v>0.1</v>
      </c>
      <c r="V40" s="65">
        <f t="shared" si="22"/>
        <v>0.1</v>
      </c>
      <c r="W40" s="65">
        <f t="shared" si="22"/>
        <v>0.1</v>
      </c>
      <c r="X40" s="65">
        <f t="shared" si="22"/>
        <v>0.1</v>
      </c>
      <c r="Y40" s="65">
        <f t="shared" si="22"/>
        <v>0.1</v>
      </c>
      <c r="Z40" s="65">
        <f t="shared" si="22"/>
        <v>0.1</v>
      </c>
      <c r="AA40" s="65">
        <f t="shared" si="22"/>
        <v>0.1</v>
      </c>
      <c r="AB40" s="65">
        <f t="shared" si="22"/>
        <v>0.1</v>
      </c>
      <c r="AC40" s="65">
        <f t="shared" si="22"/>
        <v>0.1</v>
      </c>
      <c r="AD40" s="65">
        <f t="shared" si="22"/>
        <v>0.1</v>
      </c>
      <c r="AE40" s="65">
        <f t="shared" si="22"/>
        <v>0.1</v>
      </c>
      <c r="AF40" s="65">
        <f t="shared" si="22"/>
        <v>0.1</v>
      </c>
      <c r="AG40" s="65">
        <f t="shared" si="22"/>
        <v>0.1</v>
      </c>
      <c r="AH40" s="65">
        <f t="shared" si="22"/>
        <v>0.1</v>
      </c>
      <c r="AI40" s="65">
        <f t="shared" si="22"/>
        <v>0.1</v>
      </c>
      <c r="AJ40" s="65">
        <f t="shared" si="22"/>
        <v>0.1</v>
      </c>
      <c r="AK40" s="4">
        <f t="shared" si="22"/>
        <v>0.1</v>
      </c>
      <c r="AL40" s="4">
        <f t="shared" si="22"/>
        <v>0.1</v>
      </c>
      <c r="AM40" s="4">
        <f t="shared" si="22"/>
        <v>0.1</v>
      </c>
      <c r="AN40" s="4">
        <f t="shared" si="22"/>
        <v>0.1</v>
      </c>
      <c r="AO40" s="4">
        <f t="shared" si="22"/>
        <v>0.1</v>
      </c>
      <c r="AP40" s="4">
        <f t="shared" si="22"/>
        <v>0.1</v>
      </c>
      <c r="AQ40" s="4">
        <f t="shared" si="22"/>
        <v>0.1</v>
      </c>
      <c r="AR40" s="4">
        <f t="shared" si="22"/>
        <v>0.1</v>
      </c>
      <c r="AS40" s="4">
        <f t="shared" si="22"/>
        <v>0.1</v>
      </c>
      <c r="AT40" s="4">
        <f t="shared" si="22"/>
        <v>0.1</v>
      </c>
      <c r="AU40" s="4">
        <f t="shared" si="22"/>
        <v>0.1</v>
      </c>
      <c r="AV40" s="4">
        <f t="shared" si="22"/>
        <v>0.1</v>
      </c>
      <c r="AW40" s="4">
        <f t="shared" si="22"/>
        <v>0.1</v>
      </c>
      <c r="AX40" s="4">
        <f t="shared" si="22"/>
        <v>0.1</v>
      </c>
      <c r="AY40" s="4">
        <f t="shared" si="22"/>
        <v>0.1</v>
      </c>
      <c r="AZ40" s="4">
        <f t="shared" si="22"/>
        <v>0.1</v>
      </c>
      <c r="BA40" s="4">
        <f t="shared" si="22"/>
        <v>0.1</v>
      </c>
      <c r="BB40" s="4">
        <f t="shared" si="22"/>
        <v>0.1</v>
      </c>
      <c r="BC40" s="4">
        <f t="shared" si="22"/>
        <v>0.1</v>
      </c>
      <c r="BD40" s="4">
        <f t="shared" si="22"/>
        <v>0.1</v>
      </c>
      <c r="BE40" s="4">
        <f t="shared" si="22"/>
        <v>0.1</v>
      </c>
      <c r="BF40" s="4">
        <f t="shared" si="22"/>
        <v>0.1</v>
      </c>
      <c r="BG40" s="4">
        <f t="shared" si="22"/>
        <v>0.1</v>
      </c>
      <c r="BH40" s="4">
        <f t="shared" si="22"/>
        <v>0.1</v>
      </c>
      <c r="BI40" s="4">
        <f t="shared" si="22"/>
        <v>0.1</v>
      </c>
    </row>
    <row r="41" spans="1:61" x14ac:dyDescent="0.2">
      <c r="A41" s="53">
        <v>30</v>
      </c>
      <c r="B41" s="53">
        <f t="shared" si="18"/>
        <v>4</v>
      </c>
      <c r="C41" s="53">
        <v>0.125</v>
      </c>
      <c r="D41" s="53">
        <v>30</v>
      </c>
      <c r="E41" s="53">
        <f t="shared" si="19"/>
        <v>3.5658550000000013</v>
      </c>
      <c r="F41" s="53">
        <v>0.1</v>
      </c>
      <c r="G41" s="53">
        <v>30</v>
      </c>
      <c r="H41" s="53">
        <f t="shared" si="17"/>
        <v>3.2662194235429212</v>
      </c>
      <c r="I41" s="53">
        <v>7.3999999999999996E-2</v>
      </c>
      <c r="K41" s="53" t="s">
        <v>37</v>
      </c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</row>
    <row r="42" spans="1:61" x14ac:dyDescent="0.2">
      <c r="A42" s="53">
        <v>31</v>
      </c>
      <c r="B42" s="53">
        <f t="shared" si="18"/>
        <v>3.875</v>
      </c>
      <c r="C42" s="53">
        <v>0.125</v>
      </c>
      <c r="D42" s="53">
        <v>31</v>
      </c>
      <c r="E42" s="53">
        <f t="shared" si="19"/>
        <v>3.4658550000000012</v>
      </c>
      <c r="F42" s="53">
        <v>0.1</v>
      </c>
      <c r="G42" s="53">
        <v>31</v>
      </c>
      <c r="H42" s="53">
        <f t="shared" si="17"/>
        <v>3.1922194235429213</v>
      </c>
      <c r="I42" s="53">
        <v>7.3999999999999996E-2</v>
      </c>
      <c r="K42" s="53" t="s">
        <v>39</v>
      </c>
      <c r="L42" s="65">
        <f>L39-L41</f>
        <v>0.08</v>
      </c>
      <c r="M42" s="65">
        <f>L42</f>
        <v>0.08</v>
      </c>
      <c r="N42" s="65">
        <f t="shared" ref="N42:BI42" si="23">M42</f>
        <v>0.08</v>
      </c>
      <c r="O42" s="65">
        <f t="shared" si="23"/>
        <v>0.08</v>
      </c>
      <c r="P42" s="65">
        <f t="shared" si="23"/>
        <v>0.08</v>
      </c>
      <c r="Q42" s="65">
        <f t="shared" si="23"/>
        <v>0.08</v>
      </c>
      <c r="R42" s="65">
        <f t="shared" si="23"/>
        <v>0.08</v>
      </c>
      <c r="S42" s="65">
        <f t="shared" si="23"/>
        <v>0.08</v>
      </c>
      <c r="T42" s="65">
        <f t="shared" si="23"/>
        <v>0.08</v>
      </c>
      <c r="U42" s="65">
        <f t="shared" si="23"/>
        <v>0.08</v>
      </c>
      <c r="V42" s="65">
        <f t="shared" si="23"/>
        <v>0.08</v>
      </c>
      <c r="W42" s="65">
        <f t="shared" si="23"/>
        <v>0.08</v>
      </c>
      <c r="X42" s="65">
        <f t="shared" si="23"/>
        <v>0.08</v>
      </c>
      <c r="Y42" s="65">
        <f t="shared" si="23"/>
        <v>0.08</v>
      </c>
      <c r="Z42" s="65">
        <f t="shared" si="23"/>
        <v>0.08</v>
      </c>
      <c r="AA42" s="65">
        <f t="shared" si="23"/>
        <v>0.08</v>
      </c>
      <c r="AB42" s="65">
        <f t="shared" si="23"/>
        <v>0.08</v>
      </c>
      <c r="AC42" s="65">
        <f t="shared" si="23"/>
        <v>0.08</v>
      </c>
      <c r="AD42" s="65">
        <f t="shared" si="23"/>
        <v>0.08</v>
      </c>
      <c r="AE42" s="65">
        <f t="shared" si="23"/>
        <v>0.08</v>
      </c>
      <c r="AF42" s="65">
        <f t="shared" si="23"/>
        <v>0.08</v>
      </c>
      <c r="AG42" s="65">
        <f t="shared" si="23"/>
        <v>0.08</v>
      </c>
      <c r="AH42" s="65">
        <f t="shared" si="23"/>
        <v>0.08</v>
      </c>
      <c r="AI42" s="65">
        <f t="shared" si="23"/>
        <v>0.08</v>
      </c>
      <c r="AJ42" s="65">
        <f t="shared" si="23"/>
        <v>0.08</v>
      </c>
      <c r="AK42" s="4">
        <f t="shared" si="23"/>
        <v>0.08</v>
      </c>
      <c r="AL42" s="4">
        <f t="shared" si="23"/>
        <v>0.08</v>
      </c>
      <c r="AM42" s="4">
        <f t="shared" si="23"/>
        <v>0.08</v>
      </c>
      <c r="AN42" s="4">
        <f t="shared" si="23"/>
        <v>0.08</v>
      </c>
      <c r="AO42" s="4">
        <f t="shared" si="23"/>
        <v>0.08</v>
      </c>
      <c r="AP42" s="4">
        <f t="shared" si="23"/>
        <v>0.08</v>
      </c>
      <c r="AQ42" s="4">
        <f t="shared" si="23"/>
        <v>0.08</v>
      </c>
      <c r="AR42" s="4">
        <f t="shared" si="23"/>
        <v>0.08</v>
      </c>
      <c r="AS42" s="4">
        <f t="shared" si="23"/>
        <v>0.08</v>
      </c>
      <c r="AT42" s="4">
        <f t="shared" si="23"/>
        <v>0.08</v>
      </c>
      <c r="AU42" s="4">
        <f t="shared" si="23"/>
        <v>0.08</v>
      </c>
      <c r="AV42" s="4">
        <f t="shared" si="23"/>
        <v>0.08</v>
      </c>
      <c r="AW42" s="4">
        <f t="shared" si="23"/>
        <v>0.08</v>
      </c>
      <c r="AX42" s="4">
        <f t="shared" si="23"/>
        <v>0.08</v>
      </c>
      <c r="AY42" s="4">
        <f t="shared" si="23"/>
        <v>0.08</v>
      </c>
      <c r="AZ42" s="4">
        <f t="shared" si="23"/>
        <v>0.08</v>
      </c>
      <c r="BA42" s="4">
        <f t="shared" si="23"/>
        <v>0.08</v>
      </c>
      <c r="BB42" s="4">
        <f t="shared" si="23"/>
        <v>0.08</v>
      </c>
      <c r="BC42" s="4">
        <f t="shared" si="23"/>
        <v>0.08</v>
      </c>
      <c r="BD42" s="4">
        <f t="shared" si="23"/>
        <v>0.08</v>
      </c>
      <c r="BE42" s="4">
        <f t="shared" si="23"/>
        <v>0.08</v>
      </c>
      <c r="BF42" s="4">
        <f t="shared" si="23"/>
        <v>0.08</v>
      </c>
      <c r="BG42" s="4">
        <f t="shared" si="23"/>
        <v>0.08</v>
      </c>
      <c r="BH42" s="4">
        <f t="shared" si="23"/>
        <v>0.08</v>
      </c>
      <c r="BI42" s="4">
        <f t="shared" si="23"/>
        <v>0.08</v>
      </c>
    </row>
    <row r="43" spans="1:61" x14ac:dyDescent="0.2">
      <c r="A43" s="53">
        <v>32</v>
      </c>
      <c r="B43" s="53">
        <f t="shared" si="18"/>
        <v>3.75</v>
      </c>
      <c r="C43" s="53">
        <v>0.125</v>
      </c>
      <c r="D43" s="53">
        <v>32</v>
      </c>
      <c r="E43" s="53">
        <f t="shared" si="19"/>
        <v>3.3658550000000012</v>
      </c>
      <c r="F43" s="53">
        <v>0.1</v>
      </c>
      <c r="G43" s="53">
        <v>32</v>
      </c>
      <c r="H43" s="53">
        <f t="shared" si="17"/>
        <v>3.1182194235429215</v>
      </c>
      <c r="I43" s="53">
        <v>7.3999999999999996E-2</v>
      </c>
      <c r="K43" s="53" t="s">
        <v>40</v>
      </c>
      <c r="L43" s="80">
        <f>FV(L42/12,12,-L38)</f>
        <v>23973.495202832411</v>
      </c>
      <c r="M43" s="67">
        <f t="shared" ref="M43:BI43" si="24">FV(M42/12,12,-M38,-L43)</f>
        <v>52334.128204235363</v>
      </c>
      <c r="N43" s="67">
        <f t="shared" si="24"/>
        <v>85685.764229815119</v>
      </c>
      <c r="O43" s="67">
        <f t="shared" si="24"/>
        <v>124706.36251628431</v>
      </c>
      <c r="P43" s="67">
        <f t="shared" si="24"/>
        <v>170156.52342736139</v>
      </c>
      <c r="Q43" s="67">
        <f t="shared" si="24"/>
        <v>222888.98471102657</v>
      </c>
      <c r="R43" s="67">
        <f t="shared" si="24"/>
        <v>283859.16964989342</v>
      </c>
      <c r="S43" s="67">
        <f t="shared" si="24"/>
        <v>354136.90078215138</v>
      </c>
      <c r="T43" s="67">
        <f t="shared" si="24"/>
        <v>434919.40494279028</v>
      </c>
      <c r="U43" s="67">
        <f t="shared" si="24"/>
        <v>527545.74871277588</v>
      </c>
      <c r="V43" s="67">
        <f t="shared" si="24"/>
        <v>633512.85809892497</v>
      </c>
      <c r="W43" s="67">
        <f t="shared" si="24"/>
        <v>754493.29254440102</v>
      </c>
      <c r="X43" s="67">
        <f t="shared" si="24"/>
        <v>892354.96134891477</v>
      </c>
      <c r="Y43" s="67">
        <f t="shared" si="24"/>
        <v>1049182.9904352389</v>
      </c>
      <c r="Z43" s="67">
        <f t="shared" si="24"/>
        <v>1227303.9693290347</v>
      </c>
      <c r="AA43" s="67">
        <f t="shared" si="24"/>
        <v>1429312.8324367707</v>
      </c>
      <c r="AB43" s="67">
        <f t="shared" si="24"/>
        <v>1658102.6554482472</v>
      </c>
      <c r="AC43" s="67">
        <f t="shared" si="24"/>
        <v>1916897.6772168118</v>
      </c>
      <c r="AD43" s="67">
        <f t="shared" si="24"/>
        <v>2209289.89006942</v>
      </c>
      <c r="AE43" s="67">
        <f t="shared" si="24"/>
        <v>2539279.5774874659</v>
      </c>
      <c r="AF43" s="67">
        <f t="shared" si="24"/>
        <v>2911320.2178275208</v>
      </c>
      <c r="AG43" s="67">
        <f t="shared" si="24"/>
        <v>3330368.2166043716</v>
      </c>
      <c r="AH43" s="67">
        <f t="shared" si="24"/>
        <v>3801937.9782622186</v>
      </c>
      <c r="AI43" s="67">
        <f t="shared" si="24"/>
        <v>4332162.88178223</v>
      </c>
      <c r="AJ43" s="67">
        <f t="shared" si="24"/>
        <v>4927862.7834326122</v>
      </c>
      <c r="AK43" s="4">
        <f t="shared" si="24"/>
        <v>5596618.7350305244</v>
      </c>
      <c r="AL43" s="4">
        <f t="shared" si="24"/>
        <v>6346855.677881442</v>
      </c>
      <c r="AM43" s="4">
        <f t="shared" si="24"/>
        <v>7187933.9517831309</v>
      </c>
      <c r="AN43" s="4">
        <f t="shared" si="24"/>
        <v>8130250.5458910801</v>
      </c>
      <c r="AO43" s="4">
        <f t="shared" si="24"/>
        <v>9185351.1146810204</v>
      </c>
      <c r="AP43" s="4">
        <f t="shared" si="24"/>
        <v>10366053.8886388</v>
      </c>
      <c r="AQ43" s="4">
        <f t="shared" si="24"/>
        <v>11686586.726679878</v>
      </c>
      <c r="AR43" s="4">
        <f t="shared" si="24"/>
        <v>13162738.686775887</v>
      </c>
      <c r="AS43" s="4">
        <f t="shared" si="24"/>
        <v>14812027.634084642</v>
      </c>
      <c r="AT43" s="4">
        <f t="shared" si="24"/>
        <v>16653885.563410122</v>
      </c>
      <c r="AU43" s="4">
        <f t="shared" si="24"/>
        <v>18709863.486566845</v>
      </c>
      <c r="AV43" s="4">
        <f t="shared" si="24"/>
        <v>21003857.926849201</v>
      </c>
      <c r="AW43" s="4">
        <f t="shared" si="24"/>
        <v>23562361.27414031</v>
      </c>
      <c r="AX43" s="4">
        <f t="shared" si="24"/>
        <v>26414738.487252705</v>
      </c>
      <c r="AY43" s="4">
        <f t="shared" si="24"/>
        <v>29593532.887096245</v>
      </c>
      <c r="AZ43" s="4">
        <f t="shared" si="24"/>
        <v>33134804.067664497</v>
      </c>
      <c r="BA43" s="4">
        <f t="shared" si="24"/>
        <v>37078501.264316306</v>
      </c>
      <c r="BB43" s="4">
        <f t="shared" si="24"/>
        <v>41468875.863375589</v>
      </c>
      <c r="BC43" s="4">
        <f t="shared" si="24"/>
        <v>46354937.116952956</v>
      </c>
      <c r="BD43" s="4">
        <f t="shared" si="24"/>
        <v>51790955.545714065</v>
      </c>
      <c r="BE43" s="4">
        <f t="shared" si="24"/>
        <v>57837018.974054962</v>
      </c>
      <c r="BF43" s="4">
        <f t="shared" si="24"/>
        <v>64559646.651170783</v>
      </c>
      <c r="BG43" s="4">
        <f t="shared" si="24"/>
        <v>72032467.472643003</v>
      </c>
      <c r="BH43" s="4">
        <f t="shared" si="24"/>
        <v>80336968.935734093</v>
      </c>
      <c r="BI43" s="4">
        <f t="shared" si="24"/>
        <v>89563324.143417358</v>
      </c>
    </row>
    <row r="44" spans="1:61" x14ac:dyDescent="0.2">
      <c r="A44" s="53">
        <v>33</v>
      </c>
      <c r="B44" s="53">
        <f t="shared" si="18"/>
        <v>3.625</v>
      </c>
      <c r="C44" s="53">
        <v>0.125</v>
      </c>
      <c r="D44" s="53">
        <v>33</v>
      </c>
      <c r="E44" s="53">
        <f t="shared" si="19"/>
        <v>3.2658550000000011</v>
      </c>
      <c r="F44" s="53">
        <v>0.1</v>
      </c>
      <c r="G44" s="53">
        <v>33</v>
      </c>
      <c r="H44" s="53">
        <f t="shared" si="17"/>
        <v>3.0442194235429216</v>
      </c>
      <c r="I44" s="53">
        <v>7.3999999999999996E-2</v>
      </c>
    </row>
    <row r="45" spans="1:61" x14ac:dyDescent="0.2">
      <c r="A45" s="53">
        <v>34</v>
      </c>
      <c r="B45" s="53">
        <f t="shared" si="18"/>
        <v>3.5</v>
      </c>
      <c r="C45" s="53">
        <v>0.125</v>
      </c>
      <c r="D45" s="53">
        <v>34</v>
      </c>
      <c r="E45" s="53">
        <f t="shared" si="19"/>
        <v>3.165855000000001</v>
      </c>
      <c r="F45" s="53">
        <v>0.1</v>
      </c>
      <c r="G45" s="53">
        <v>34</v>
      </c>
      <c r="H45" s="53">
        <f t="shared" si="17"/>
        <v>2.9702194235429218</v>
      </c>
      <c r="I45" s="53">
        <v>7.3999999999999996E-2</v>
      </c>
      <c r="K45" s="53" t="s">
        <v>42</v>
      </c>
      <c r="L45" s="79">
        <f>L38*12</f>
        <v>23107.120632348848</v>
      </c>
      <c r="M45" s="79">
        <f>(M38*12)+L45</f>
        <v>48524.953327932584</v>
      </c>
      <c r="N45" s="79">
        <f>(N38*12)+M45</f>
        <v>76484.569293074688</v>
      </c>
      <c r="O45" s="79">
        <f t="shared" ref="O45:AL45" si="25">(O38*12)+N45</f>
        <v>107240.14685473102</v>
      </c>
      <c r="P45" s="79">
        <f t="shared" si="25"/>
        <v>141071.28217255298</v>
      </c>
      <c r="Q45" s="79">
        <f t="shared" si="25"/>
        <v>178285.53102215714</v>
      </c>
      <c r="R45" s="79">
        <f t="shared" si="25"/>
        <v>219221.20475672174</v>
      </c>
      <c r="S45" s="79">
        <f t="shared" si="25"/>
        <v>264250.4458647428</v>
      </c>
      <c r="T45" s="79">
        <f t="shared" si="25"/>
        <v>313782.61108356598</v>
      </c>
      <c r="U45" s="79">
        <f t="shared" si="25"/>
        <v>368267.99282427144</v>
      </c>
      <c r="V45" s="79">
        <f t="shared" si="25"/>
        <v>428201.91273904743</v>
      </c>
      <c r="W45" s="79">
        <f t="shared" si="25"/>
        <v>494129.22464530106</v>
      </c>
      <c r="X45" s="79">
        <f t="shared" si="25"/>
        <v>566649.26774218003</v>
      </c>
      <c r="Y45" s="79">
        <f t="shared" si="25"/>
        <v>646421.31514874694</v>
      </c>
      <c r="Z45" s="79">
        <f t="shared" si="25"/>
        <v>734170.56729597051</v>
      </c>
      <c r="AA45" s="79">
        <f t="shared" si="25"/>
        <v>830694.74465791648</v>
      </c>
      <c r="AB45" s="79">
        <f t="shared" si="25"/>
        <v>936871.33975605713</v>
      </c>
      <c r="AC45" s="79">
        <f t="shared" si="25"/>
        <v>1053665.5943640117</v>
      </c>
      <c r="AD45" s="79">
        <f t="shared" si="25"/>
        <v>1182139.2744327618</v>
      </c>
      <c r="AE45" s="79">
        <f t="shared" si="25"/>
        <v>1323460.322508387</v>
      </c>
      <c r="AF45" s="79">
        <f t="shared" si="25"/>
        <v>1478913.4753915747</v>
      </c>
      <c r="AG45" s="79">
        <f t="shared" si="25"/>
        <v>1649911.9435630811</v>
      </c>
      <c r="AH45" s="79">
        <f t="shared" si="25"/>
        <v>1838010.2585517382</v>
      </c>
      <c r="AI45" s="79">
        <f t="shared" si="25"/>
        <v>2044918.4050392611</v>
      </c>
      <c r="AJ45" s="79">
        <f t="shared" si="25"/>
        <v>2272517.3661755361</v>
      </c>
      <c r="AK45" s="79">
        <f t="shared" si="25"/>
        <v>2522876.2234254386</v>
      </c>
      <c r="AL45" s="79">
        <f t="shared" si="25"/>
        <v>2798270.9664003318</v>
      </c>
    </row>
    <row r="46" spans="1:61" x14ac:dyDescent="0.2">
      <c r="A46" s="53">
        <v>35</v>
      </c>
      <c r="B46" s="53">
        <f t="shared" si="18"/>
        <v>3.375</v>
      </c>
      <c r="C46" s="53">
        <v>0.125</v>
      </c>
      <c r="D46" s="53">
        <v>35</v>
      </c>
      <c r="E46" s="53">
        <f t="shared" si="19"/>
        <v>3.0658550000000009</v>
      </c>
      <c r="F46" s="53">
        <v>0.1</v>
      </c>
      <c r="G46" s="53">
        <v>35</v>
      </c>
      <c r="H46" s="53">
        <f t="shared" si="17"/>
        <v>2.8962194235429219</v>
      </c>
      <c r="I46" s="53">
        <v>7.3999999999999996E-2</v>
      </c>
      <c r="K46" s="4"/>
      <c r="AK46" s="57"/>
    </row>
    <row r="47" spans="1:61" x14ac:dyDescent="0.2">
      <c r="A47" s="53">
        <v>36</v>
      </c>
      <c r="B47" s="53">
        <f t="shared" si="18"/>
        <v>3.25</v>
      </c>
      <c r="C47" s="53">
        <v>0.125</v>
      </c>
      <c r="D47" s="53">
        <v>36</v>
      </c>
      <c r="E47" s="53">
        <f t="shared" si="19"/>
        <v>2.9658550000000008</v>
      </c>
      <c r="F47" s="53">
        <v>0.1</v>
      </c>
      <c r="G47" s="53">
        <v>36</v>
      </c>
      <c r="H47" s="53">
        <f t="shared" si="17"/>
        <v>2.8222194235429221</v>
      </c>
      <c r="I47" s="53">
        <v>7.3999999999999996E-2</v>
      </c>
      <c r="L47" s="71"/>
      <c r="M47" s="71"/>
      <c r="N47" s="71"/>
      <c r="AJ47" s="58">
        <f>PMT(0%,65-39,,-AJ45)</f>
        <v>87404.514083674469</v>
      </c>
      <c r="AK47" s="58">
        <f>PMT(0%,65-39,,-AK45)</f>
        <v>97033.700900978409</v>
      </c>
      <c r="AL47" s="58">
        <f>PMT(0%,65-39,,-AL45)</f>
        <v>107625.80640001276</v>
      </c>
    </row>
    <row r="48" spans="1:61" x14ac:dyDescent="0.2">
      <c r="A48" s="53">
        <v>37</v>
      </c>
      <c r="B48" s="53">
        <f t="shared" si="18"/>
        <v>3.125</v>
      </c>
      <c r="C48" s="53">
        <v>0.125</v>
      </c>
      <c r="D48" s="53">
        <v>37</v>
      </c>
      <c r="E48" s="53">
        <f t="shared" si="19"/>
        <v>2.8658550000000007</v>
      </c>
      <c r="F48" s="53">
        <v>0.1</v>
      </c>
      <c r="G48" s="53">
        <v>37</v>
      </c>
      <c r="H48" s="53">
        <f t="shared" si="17"/>
        <v>2.7482194235429223</v>
      </c>
      <c r="I48" s="53">
        <v>7.3999999999999996E-2</v>
      </c>
      <c r="K48" s="58">
        <f>AK51</f>
        <v>8409.5874114181297</v>
      </c>
      <c r="AJ48" s="58">
        <f>AJ47/12</f>
        <v>7283.7095069728721</v>
      </c>
      <c r="AK48" s="58">
        <f>AK47/12</f>
        <v>8086.1417417482007</v>
      </c>
      <c r="AL48" s="58">
        <f>AL47/12</f>
        <v>8968.8172000010636</v>
      </c>
    </row>
    <row r="49" spans="1:61" x14ac:dyDescent="0.2">
      <c r="A49" s="53">
        <v>38</v>
      </c>
      <c r="B49" s="53">
        <f t="shared" si="18"/>
        <v>3</v>
      </c>
      <c r="C49" s="53">
        <v>0.125</v>
      </c>
      <c r="D49" s="53">
        <v>38</v>
      </c>
      <c r="E49" s="53">
        <f t="shared" si="19"/>
        <v>2.7658550000000006</v>
      </c>
      <c r="F49" s="53">
        <v>0.1</v>
      </c>
      <c r="G49" s="53">
        <v>38</v>
      </c>
      <c r="H49" s="53">
        <f t="shared" si="17"/>
        <v>2.6742194235429224</v>
      </c>
      <c r="I49" s="53">
        <v>7.3999999999999996E-2</v>
      </c>
      <c r="K49" s="4"/>
    </row>
    <row r="50" spans="1:61" x14ac:dyDescent="0.2">
      <c r="A50" s="53">
        <v>39</v>
      </c>
      <c r="B50" s="53">
        <f t="shared" si="18"/>
        <v>2.875</v>
      </c>
      <c r="C50" s="53">
        <v>0.125</v>
      </c>
      <c r="D50" s="53">
        <v>39</v>
      </c>
      <c r="E50" s="53">
        <f t="shared" si="19"/>
        <v>2.6658550000000005</v>
      </c>
      <c r="F50" s="53">
        <v>0.1</v>
      </c>
      <c r="G50" s="53">
        <v>39</v>
      </c>
      <c r="H50" s="53">
        <f t="shared" si="17"/>
        <v>2.6002194235429226</v>
      </c>
      <c r="I50" s="53">
        <v>7.3999999999999996E-2</v>
      </c>
      <c r="K50" s="4"/>
      <c r="AJ50" s="58">
        <f>PMT(0%,65-40,,-AJ45)</f>
        <v>90900.694647021446</v>
      </c>
      <c r="AK50" s="58">
        <f>PMT(0%,65-40,,-AK45)</f>
        <v>100915.04893701755</v>
      </c>
      <c r="AL50" s="58">
        <f>PMT(0%,65-40,,-AL45)</f>
        <v>111930.83865601328</v>
      </c>
    </row>
    <row r="51" spans="1:61" x14ac:dyDescent="0.2">
      <c r="A51" s="53">
        <v>40</v>
      </c>
      <c r="B51" s="53">
        <f t="shared" si="18"/>
        <v>2.75</v>
      </c>
      <c r="C51" s="53">
        <v>0.125</v>
      </c>
      <c r="D51" s="53">
        <v>40</v>
      </c>
      <c r="E51" s="53">
        <f t="shared" si="19"/>
        <v>2.5658550000000004</v>
      </c>
      <c r="F51" s="53">
        <v>0.1</v>
      </c>
      <c r="G51" s="53">
        <v>40</v>
      </c>
      <c r="H51" s="53">
        <f t="shared" si="17"/>
        <v>2.5262194235429227</v>
      </c>
      <c r="I51" s="53">
        <v>7.3999999999999996E-2</v>
      </c>
      <c r="K51" s="4"/>
      <c r="AJ51" s="58">
        <f>AJ50/12</f>
        <v>7575.0578872517872</v>
      </c>
      <c r="AK51" s="58">
        <f>AK50/12</f>
        <v>8409.5874114181297</v>
      </c>
      <c r="AL51" s="58">
        <f>AL50/12</f>
        <v>9327.5698880011059</v>
      </c>
    </row>
    <row r="52" spans="1:61" x14ac:dyDescent="0.2">
      <c r="A52" s="53">
        <v>41</v>
      </c>
      <c r="B52" s="53">
        <f t="shared" si="18"/>
        <v>2.625</v>
      </c>
      <c r="C52" s="53">
        <v>0.125</v>
      </c>
      <c r="D52" s="53">
        <v>41</v>
      </c>
      <c r="E52" s="53">
        <f t="shared" si="19"/>
        <v>2.4658550000000004</v>
      </c>
      <c r="F52" s="53">
        <v>0.1</v>
      </c>
      <c r="G52" s="53">
        <v>41</v>
      </c>
      <c r="H52" s="53">
        <f t="shared" si="17"/>
        <v>2.4522194235429229</v>
      </c>
      <c r="I52" s="53">
        <v>7.3999999999999996E-2</v>
      </c>
      <c r="K52" s="4">
        <f>HLOOKUP(G5,L37:BQ43,7)</f>
        <v>23562361.27414031</v>
      </c>
    </row>
    <row r="53" spans="1:61" x14ac:dyDescent="0.2">
      <c r="A53" s="53">
        <v>42</v>
      </c>
      <c r="B53" s="53">
        <f t="shared" si="18"/>
        <v>2.5</v>
      </c>
      <c r="C53" s="53">
        <v>0.125</v>
      </c>
      <c r="D53" s="53">
        <v>42</v>
      </c>
      <c r="E53" s="53">
        <f t="shared" si="19"/>
        <v>2.3658550000000003</v>
      </c>
      <c r="F53" s="53">
        <v>0.1</v>
      </c>
      <c r="G53" s="53">
        <v>42</v>
      </c>
      <c r="H53" s="53">
        <f t="shared" si="17"/>
        <v>2.378219423542923</v>
      </c>
      <c r="I53" s="53">
        <v>7.3999999999999996E-2</v>
      </c>
      <c r="K53" s="4"/>
    </row>
    <row r="54" spans="1:61" x14ac:dyDescent="0.2">
      <c r="A54" s="53">
        <v>43</v>
      </c>
      <c r="B54" s="53">
        <f t="shared" si="18"/>
        <v>2.375</v>
      </c>
      <c r="C54" s="53">
        <v>0.125</v>
      </c>
      <c r="D54" s="53">
        <v>43</v>
      </c>
      <c r="E54" s="53">
        <f t="shared" si="19"/>
        <v>2.2658550000000002</v>
      </c>
      <c r="F54" s="53">
        <v>0.1</v>
      </c>
      <c r="G54" s="53">
        <v>43</v>
      </c>
      <c r="H54" s="53">
        <f t="shared" si="17"/>
        <v>2.3042194235429232</v>
      </c>
      <c r="I54" s="53">
        <v>7.3999999999999996E-2</v>
      </c>
    </row>
    <row r="55" spans="1:61" x14ac:dyDescent="0.2">
      <c r="A55" s="53">
        <v>44</v>
      </c>
      <c r="B55" s="53">
        <f t="shared" si="18"/>
        <v>2.25</v>
      </c>
      <c r="C55" s="53">
        <v>0.125</v>
      </c>
      <c r="D55" s="53">
        <v>44</v>
      </c>
      <c r="E55" s="53">
        <f t="shared" si="19"/>
        <v>2.1658550000000001</v>
      </c>
      <c r="F55" s="53">
        <v>0.1</v>
      </c>
      <c r="G55" s="53">
        <v>44</v>
      </c>
      <c r="H55" s="53">
        <f t="shared" si="17"/>
        <v>2.2302194235429234</v>
      </c>
      <c r="I55" s="53">
        <v>7.3999999999999996E-2</v>
      </c>
    </row>
    <row r="56" spans="1:61" x14ac:dyDescent="0.2">
      <c r="A56" s="53">
        <v>45</v>
      </c>
      <c r="B56" s="53">
        <f t="shared" si="18"/>
        <v>2.125</v>
      </c>
      <c r="C56" s="53">
        <v>0.125</v>
      </c>
      <c r="D56" s="53">
        <v>45</v>
      </c>
      <c r="E56" s="53">
        <f t="shared" si="19"/>
        <v>2.065855</v>
      </c>
      <c r="F56" s="53">
        <v>0.1</v>
      </c>
      <c r="G56" s="53">
        <v>45</v>
      </c>
      <c r="H56" s="53">
        <f t="shared" si="17"/>
        <v>2.1562194235429235</v>
      </c>
      <c r="I56" s="53">
        <v>7.3999999999999996E-2</v>
      </c>
      <c r="K56" s="53" t="s">
        <v>46</v>
      </c>
      <c r="L56" s="79">
        <f>L3</f>
        <v>1000</v>
      </c>
      <c r="M56" s="79">
        <f>M3</f>
        <v>1100</v>
      </c>
      <c r="N56" s="79">
        <f>N3</f>
        <v>1210</v>
      </c>
      <c r="O56" s="79">
        <f>O3</f>
        <v>1331</v>
      </c>
      <c r="P56" s="79">
        <f>P3</f>
        <v>1464.1000000000001</v>
      </c>
      <c r="Q56" s="79">
        <f t="shared" ref="Q56:AY56" si="26">Q3</f>
        <v>1610.5100000000002</v>
      </c>
      <c r="R56" s="79">
        <f t="shared" si="26"/>
        <v>1771.5610000000004</v>
      </c>
      <c r="S56" s="79">
        <f t="shared" si="26"/>
        <v>1948.7171000000005</v>
      </c>
      <c r="T56" s="79">
        <f t="shared" si="26"/>
        <v>2143.5888100000006</v>
      </c>
      <c r="U56" s="79">
        <f t="shared" si="26"/>
        <v>2357.9476910000008</v>
      </c>
      <c r="V56" s="79">
        <f t="shared" si="26"/>
        <v>2593.7424601000012</v>
      </c>
      <c r="W56" s="79">
        <f t="shared" si="26"/>
        <v>2853.1167061100014</v>
      </c>
      <c r="X56" s="79">
        <f t="shared" si="26"/>
        <v>3138.4283767210018</v>
      </c>
      <c r="Y56" s="79">
        <f t="shared" si="26"/>
        <v>3452.2712143931021</v>
      </c>
      <c r="Z56" s="79">
        <f t="shared" si="26"/>
        <v>3797.4983358324125</v>
      </c>
      <c r="AA56" s="79">
        <f t="shared" si="26"/>
        <v>4177.248169415654</v>
      </c>
      <c r="AB56" s="79">
        <f t="shared" si="26"/>
        <v>4594.9729863572202</v>
      </c>
      <c r="AC56" s="79">
        <f t="shared" si="26"/>
        <v>5054.4702849929427</v>
      </c>
      <c r="AD56" s="79">
        <f t="shared" si="26"/>
        <v>5559.9173134922376</v>
      </c>
      <c r="AE56" s="79">
        <f t="shared" si="26"/>
        <v>6115.9090448414618</v>
      </c>
      <c r="AF56" s="79">
        <f t="shared" si="26"/>
        <v>6727.4999493256082</v>
      </c>
      <c r="AG56" s="79">
        <f t="shared" si="26"/>
        <v>7400.2499442581693</v>
      </c>
      <c r="AH56" s="79">
        <f t="shared" si="26"/>
        <v>8140.2749386839869</v>
      </c>
      <c r="AI56" s="79">
        <f t="shared" si="26"/>
        <v>8954.3024325523857</v>
      </c>
      <c r="AJ56" s="79">
        <f t="shared" si="26"/>
        <v>9849.7326758076251</v>
      </c>
      <c r="AK56" s="79">
        <f t="shared" si="26"/>
        <v>10834.705943388388</v>
      </c>
      <c r="AL56" s="79">
        <f t="shared" si="26"/>
        <v>11918.176537727228</v>
      </c>
      <c r="AM56" s="79">
        <f t="shared" si="26"/>
        <v>13109.994191499951</v>
      </c>
      <c r="AN56" s="79">
        <f t="shared" si="26"/>
        <v>14420.993610649946</v>
      </c>
      <c r="AO56" s="79">
        <f t="shared" si="26"/>
        <v>15863.092971714943</v>
      </c>
      <c r="AP56" s="79">
        <f t="shared" si="26"/>
        <v>17449.402268886439</v>
      </c>
      <c r="AQ56" s="79">
        <f t="shared" si="26"/>
        <v>19194.342495775083</v>
      </c>
      <c r="AR56" s="79">
        <f t="shared" si="26"/>
        <v>21113.776745352592</v>
      </c>
      <c r="AS56" s="79">
        <f t="shared" si="26"/>
        <v>23225.154419887855</v>
      </c>
      <c r="AT56" s="79">
        <f t="shared" si="26"/>
        <v>25547.669861876642</v>
      </c>
      <c r="AU56" s="79">
        <f t="shared" si="26"/>
        <v>28102.43684806431</v>
      </c>
      <c r="AV56" s="79">
        <f t="shared" si="26"/>
        <v>30912.680532870741</v>
      </c>
      <c r="AW56" s="79">
        <f t="shared" si="26"/>
        <v>34003.948586157821</v>
      </c>
      <c r="AX56" s="79">
        <f t="shared" si="26"/>
        <v>37404.343444773607</v>
      </c>
      <c r="AY56" s="79">
        <f t="shared" si="26"/>
        <v>41144.777789250969</v>
      </c>
      <c r="AZ56" s="79">
        <f>SUM(L56:AY56)</f>
        <v>442592.55568176031</v>
      </c>
    </row>
    <row r="57" spans="1:61" x14ac:dyDescent="0.2">
      <c r="A57" s="53">
        <v>46</v>
      </c>
      <c r="B57" s="53">
        <f t="shared" si="18"/>
        <v>2</v>
      </c>
      <c r="C57" s="53">
        <v>0.125</v>
      </c>
      <c r="D57" s="53">
        <v>46</v>
      </c>
      <c r="E57" s="53">
        <f t="shared" si="19"/>
        <v>1.9658549999999999</v>
      </c>
      <c r="F57" s="53">
        <v>0.1</v>
      </c>
      <c r="G57" s="53">
        <v>46</v>
      </c>
      <c r="H57" s="53">
        <f t="shared" si="17"/>
        <v>2.0822194235429237</v>
      </c>
      <c r="I57" s="53">
        <v>7.3999999999999996E-2</v>
      </c>
      <c r="K57" s="53" t="s">
        <v>46</v>
      </c>
      <c r="M57" s="79">
        <f>L38</f>
        <v>1925.5933860290706</v>
      </c>
      <c r="N57" s="79">
        <f>M38</f>
        <v>2118.1527246319779</v>
      </c>
      <c r="O57" s="79">
        <f>N38</f>
        <v>2329.9679970951761</v>
      </c>
      <c r="P57" s="79">
        <f>O38</f>
        <v>2562.9647968046938</v>
      </c>
      <c r="Q57" s="79">
        <f t="shared" ref="Q57:AY57" si="27">P38</f>
        <v>2819.2612764851633</v>
      </c>
      <c r="R57" s="79">
        <f t="shared" si="27"/>
        <v>3101.18740413368</v>
      </c>
      <c r="S57" s="79">
        <f t="shared" si="27"/>
        <v>3411.3061445470485</v>
      </c>
      <c r="T57" s="79">
        <f t="shared" si="27"/>
        <v>3752.4367590017537</v>
      </c>
      <c r="U57" s="79">
        <f t="shared" si="27"/>
        <v>4127.6804349019294</v>
      </c>
      <c r="V57" s="79">
        <f t="shared" si="27"/>
        <v>4540.4484783921225</v>
      </c>
      <c r="W57" s="79">
        <f t="shared" si="27"/>
        <v>4994.4933262313352</v>
      </c>
      <c r="X57" s="79">
        <f t="shared" si="27"/>
        <v>5493.9426588544693</v>
      </c>
      <c r="Y57" s="79">
        <f t="shared" si="27"/>
        <v>6043.3369247399169</v>
      </c>
      <c r="Z57" s="79">
        <f t="shared" si="27"/>
        <v>6647.6706172139093</v>
      </c>
      <c r="AA57" s="79">
        <f t="shared" si="27"/>
        <v>7312.4376789353009</v>
      </c>
      <c r="AB57" s="79">
        <f t="shared" si="27"/>
        <v>8043.6814468288321</v>
      </c>
      <c r="AC57" s="79">
        <f t="shared" si="27"/>
        <v>8848.0495915117153</v>
      </c>
      <c r="AD57" s="79">
        <f t="shared" si="27"/>
        <v>9732.854550662887</v>
      </c>
      <c r="AE57" s="79">
        <f t="shared" si="27"/>
        <v>10706.140005729176</v>
      </c>
      <c r="AF57" s="79">
        <f t="shared" si="27"/>
        <v>11776.754006302095</v>
      </c>
      <c r="AG57" s="79">
        <f t="shared" si="27"/>
        <v>12954.429406932306</v>
      </c>
      <c r="AH57" s="79">
        <f t="shared" si="27"/>
        <v>14249.872347625538</v>
      </c>
      <c r="AI57" s="79">
        <f t="shared" si="27"/>
        <v>15674.859582388093</v>
      </c>
      <c r="AJ57" s="79">
        <f t="shared" si="27"/>
        <v>17242.345540626902</v>
      </c>
      <c r="AK57" s="79">
        <f t="shared" si="27"/>
        <v>18966.580094689594</v>
      </c>
      <c r="AL57" s="79">
        <f t="shared" si="27"/>
        <v>20863.238104158554</v>
      </c>
      <c r="AM57" s="79">
        <f t="shared" si="27"/>
        <v>22949.561914574413</v>
      </c>
      <c r="AN57" s="79">
        <f t="shared" si="27"/>
        <v>25244.518106031857</v>
      </c>
      <c r="AO57" s="79">
        <f t="shared" si="27"/>
        <v>27768.969916635044</v>
      </c>
      <c r="AP57" s="79">
        <f t="shared" si="27"/>
        <v>30545.866908298551</v>
      </c>
      <c r="AQ57" s="79">
        <f t="shared" si="27"/>
        <v>33600.453599128406</v>
      </c>
      <c r="AR57" s="79">
        <f t="shared" si="27"/>
        <v>36960.498959041252</v>
      </c>
      <c r="AS57" s="79">
        <f t="shared" si="27"/>
        <v>40656.54885494538</v>
      </c>
      <c r="AT57" s="79">
        <f t="shared" si="27"/>
        <v>44722.203740439923</v>
      </c>
      <c r="AU57" s="79">
        <f t="shared" si="27"/>
        <v>49194.424114483918</v>
      </c>
      <c r="AV57" s="79">
        <f t="shared" si="27"/>
        <v>54113.866525932317</v>
      </c>
      <c r="AW57" s="79">
        <f t="shared" si="27"/>
        <v>59525.253178525556</v>
      </c>
      <c r="AX57" s="79">
        <f t="shared" si="27"/>
        <v>65477.778496378116</v>
      </c>
      <c r="AY57" s="79">
        <f t="shared" si="27"/>
        <v>72025.556346015932</v>
      </c>
      <c r="AZ57" s="79">
        <f>SUM(L57:AY57)</f>
        <v>773025.18594588386</v>
      </c>
    </row>
    <row r="58" spans="1:61" x14ac:dyDescent="0.2">
      <c r="A58" s="53">
        <v>47</v>
      </c>
      <c r="B58" s="53">
        <f t="shared" si="18"/>
        <v>1.875</v>
      </c>
      <c r="C58" s="53">
        <v>0.125</v>
      </c>
      <c r="D58" s="53">
        <v>47</v>
      </c>
      <c r="E58" s="53">
        <f t="shared" si="19"/>
        <v>1.8658549999999998</v>
      </c>
      <c r="F58" s="53">
        <v>0.1</v>
      </c>
      <c r="G58" s="53">
        <v>47</v>
      </c>
      <c r="H58" s="53">
        <f t="shared" si="17"/>
        <v>2.0082194235429238</v>
      </c>
      <c r="I58" s="53">
        <v>7.3999999999999996E-2</v>
      </c>
    </row>
    <row r="59" spans="1:61" x14ac:dyDescent="0.2">
      <c r="A59" s="53">
        <v>48</v>
      </c>
      <c r="B59" s="53">
        <f t="shared" si="18"/>
        <v>1.75</v>
      </c>
      <c r="C59" s="53">
        <v>0.125</v>
      </c>
      <c r="D59" s="53">
        <v>48</v>
      </c>
      <c r="E59" s="53">
        <f t="shared" si="19"/>
        <v>1.7658549999999997</v>
      </c>
      <c r="F59" s="53">
        <v>0.1</v>
      </c>
      <c r="G59" s="53">
        <v>48</v>
      </c>
      <c r="H59" s="53">
        <f t="shared" si="17"/>
        <v>1.9342194235429238</v>
      </c>
      <c r="I59" s="53">
        <v>7.3999999999999996E-2</v>
      </c>
    </row>
    <row r="60" spans="1:61" x14ac:dyDescent="0.2">
      <c r="A60" s="53">
        <v>49</v>
      </c>
      <c r="B60" s="53">
        <f t="shared" si="18"/>
        <v>1.625</v>
      </c>
      <c r="C60" s="53">
        <v>0.125</v>
      </c>
      <c r="D60" s="53">
        <v>49</v>
      </c>
      <c r="E60" s="53">
        <f t="shared" si="19"/>
        <v>1.6658549999999996</v>
      </c>
      <c r="F60" s="53">
        <v>0.1</v>
      </c>
      <c r="G60" s="53">
        <v>49</v>
      </c>
      <c r="H60" s="53">
        <f t="shared" si="17"/>
        <v>1.8602194235429237</v>
      </c>
      <c r="I60" s="53">
        <v>7.3999999999999996E-2</v>
      </c>
      <c r="K60" s="53">
        <v>20</v>
      </c>
      <c r="L60" s="53">
        <f>K60+1</f>
        <v>21</v>
      </c>
      <c r="M60" s="53">
        <f t="shared" ref="M60:BI60" si="28">L60+1</f>
        <v>22</v>
      </c>
      <c r="N60" s="53">
        <f t="shared" si="28"/>
        <v>23</v>
      </c>
      <c r="O60" s="53">
        <f t="shared" si="28"/>
        <v>24</v>
      </c>
      <c r="P60" s="53">
        <f t="shared" si="28"/>
        <v>25</v>
      </c>
      <c r="Q60" s="53">
        <f t="shared" si="28"/>
        <v>26</v>
      </c>
      <c r="R60" s="53">
        <f t="shared" si="28"/>
        <v>27</v>
      </c>
      <c r="S60" s="53">
        <f t="shared" si="28"/>
        <v>28</v>
      </c>
      <c r="T60" s="53">
        <f t="shared" si="28"/>
        <v>29</v>
      </c>
      <c r="U60" s="53">
        <f t="shared" si="28"/>
        <v>30</v>
      </c>
      <c r="V60" s="53">
        <f t="shared" si="28"/>
        <v>31</v>
      </c>
      <c r="W60" s="53">
        <f t="shared" si="28"/>
        <v>32</v>
      </c>
      <c r="X60" s="53">
        <f t="shared" si="28"/>
        <v>33</v>
      </c>
      <c r="Y60" s="53">
        <f t="shared" si="28"/>
        <v>34</v>
      </c>
      <c r="Z60" s="53">
        <f t="shared" si="28"/>
        <v>35</v>
      </c>
      <c r="AA60" s="53">
        <f t="shared" si="28"/>
        <v>36</v>
      </c>
      <c r="AB60" s="53">
        <f t="shared" si="28"/>
        <v>37</v>
      </c>
      <c r="AC60" s="53">
        <f t="shared" si="28"/>
        <v>38</v>
      </c>
      <c r="AD60" s="53">
        <f t="shared" si="28"/>
        <v>39</v>
      </c>
      <c r="AE60" s="53">
        <f t="shared" si="28"/>
        <v>40</v>
      </c>
      <c r="AF60" s="53">
        <f t="shared" si="28"/>
        <v>41</v>
      </c>
      <c r="AG60" s="53">
        <f t="shared" si="28"/>
        <v>42</v>
      </c>
      <c r="AH60" s="53">
        <f t="shared" si="28"/>
        <v>43</v>
      </c>
      <c r="AI60" s="53">
        <f t="shared" si="28"/>
        <v>44</v>
      </c>
      <c r="AJ60" s="53">
        <f t="shared" si="28"/>
        <v>45</v>
      </c>
      <c r="AK60" s="53">
        <f t="shared" si="28"/>
        <v>46</v>
      </c>
      <c r="AL60" s="53">
        <f t="shared" si="28"/>
        <v>47</v>
      </c>
      <c r="AM60" s="53">
        <f t="shared" si="28"/>
        <v>48</v>
      </c>
      <c r="AN60" s="53">
        <f t="shared" si="28"/>
        <v>49</v>
      </c>
      <c r="AO60" s="53">
        <f t="shared" si="28"/>
        <v>50</v>
      </c>
      <c r="AP60" s="53">
        <f t="shared" si="28"/>
        <v>51</v>
      </c>
      <c r="AQ60" s="53">
        <f t="shared" si="28"/>
        <v>52</v>
      </c>
      <c r="AR60" s="53">
        <f t="shared" si="28"/>
        <v>53</v>
      </c>
      <c r="AS60" s="53">
        <f t="shared" si="28"/>
        <v>54</v>
      </c>
      <c r="AT60" s="53">
        <f t="shared" si="28"/>
        <v>55</v>
      </c>
      <c r="AU60" s="53">
        <f t="shared" si="28"/>
        <v>56</v>
      </c>
      <c r="AV60" s="53">
        <f t="shared" si="28"/>
        <v>57</v>
      </c>
      <c r="AW60" s="53">
        <f t="shared" si="28"/>
        <v>58</v>
      </c>
      <c r="AX60" s="53">
        <f t="shared" si="28"/>
        <v>59</v>
      </c>
      <c r="AY60" s="53">
        <f t="shared" si="28"/>
        <v>60</v>
      </c>
      <c r="AZ60" s="53">
        <f t="shared" si="28"/>
        <v>61</v>
      </c>
      <c r="BA60" s="53">
        <f t="shared" si="28"/>
        <v>62</v>
      </c>
      <c r="BB60" s="53">
        <f>BA60+1</f>
        <v>63</v>
      </c>
      <c r="BC60" s="53">
        <f t="shared" si="28"/>
        <v>64</v>
      </c>
      <c r="BD60" s="53">
        <f t="shared" si="28"/>
        <v>65</v>
      </c>
      <c r="BE60" s="53">
        <f t="shared" si="28"/>
        <v>66</v>
      </c>
      <c r="BF60" s="53">
        <f t="shared" si="28"/>
        <v>67</v>
      </c>
      <c r="BG60" s="53">
        <f t="shared" si="28"/>
        <v>68</v>
      </c>
      <c r="BH60" s="53">
        <f>BG60+1</f>
        <v>69</v>
      </c>
      <c r="BI60" s="53">
        <f t="shared" si="28"/>
        <v>70</v>
      </c>
    </row>
    <row r="61" spans="1:61" x14ac:dyDescent="0.2">
      <c r="A61" s="53">
        <v>50</v>
      </c>
      <c r="B61" s="53">
        <f t="shared" si="18"/>
        <v>1.5</v>
      </c>
      <c r="C61" s="53">
        <v>0.125</v>
      </c>
      <c r="D61" s="53">
        <v>50</v>
      </c>
      <c r="E61" s="53">
        <f t="shared" si="19"/>
        <v>1.5658549999999996</v>
      </c>
      <c r="F61" s="53">
        <v>0.1</v>
      </c>
      <c r="G61" s="53">
        <v>50</v>
      </c>
      <c r="H61" s="53">
        <f t="shared" si="17"/>
        <v>1.7862194235429236</v>
      </c>
      <c r="I61" s="53">
        <v>7.3999999999999996E-2</v>
      </c>
      <c r="K61" s="53">
        <v>1000</v>
      </c>
      <c r="L61" s="53">
        <f>K61</f>
        <v>1000</v>
      </c>
      <c r="M61" s="53">
        <f t="shared" ref="M61:BI61" si="29">L61</f>
        <v>1000</v>
      </c>
      <c r="N61" s="53">
        <f t="shared" si="29"/>
        <v>1000</v>
      </c>
      <c r="O61" s="53">
        <f t="shared" si="29"/>
        <v>1000</v>
      </c>
      <c r="P61" s="53">
        <f t="shared" si="29"/>
        <v>1000</v>
      </c>
      <c r="Q61" s="53">
        <f t="shared" si="29"/>
        <v>1000</v>
      </c>
      <c r="R61" s="53">
        <f t="shared" si="29"/>
        <v>1000</v>
      </c>
      <c r="S61" s="53">
        <f t="shared" si="29"/>
        <v>1000</v>
      </c>
      <c r="T61" s="53">
        <f t="shared" si="29"/>
        <v>1000</v>
      </c>
      <c r="U61" s="53">
        <f t="shared" si="29"/>
        <v>1000</v>
      </c>
      <c r="V61" s="53">
        <f t="shared" si="29"/>
        <v>1000</v>
      </c>
      <c r="W61" s="53">
        <f t="shared" si="29"/>
        <v>1000</v>
      </c>
      <c r="X61" s="53">
        <f t="shared" si="29"/>
        <v>1000</v>
      </c>
      <c r="Y61" s="53">
        <f t="shared" si="29"/>
        <v>1000</v>
      </c>
      <c r="Z61" s="53">
        <f t="shared" si="29"/>
        <v>1000</v>
      </c>
      <c r="AA61" s="53">
        <f t="shared" si="29"/>
        <v>1000</v>
      </c>
      <c r="AB61" s="53">
        <f t="shared" si="29"/>
        <v>1000</v>
      </c>
      <c r="AC61" s="53">
        <f t="shared" si="29"/>
        <v>1000</v>
      </c>
      <c r="AD61" s="53">
        <f t="shared" si="29"/>
        <v>1000</v>
      </c>
      <c r="AE61" s="53">
        <f t="shared" si="29"/>
        <v>1000</v>
      </c>
      <c r="AF61" s="53">
        <f t="shared" si="29"/>
        <v>1000</v>
      </c>
      <c r="AG61" s="53">
        <f t="shared" si="29"/>
        <v>1000</v>
      </c>
      <c r="AH61" s="53">
        <f t="shared" si="29"/>
        <v>1000</v>
      </c>
      <c r="AI61" s="53">
        <f t="shared" si="29"/>
        <v>1000</v>
      </c>
      <c r="AJ61" s="53">
        <f t="shared" si="29"/>
        <v>1000</v>
      </c>
      <c r="AK61" s="53">
        <f t="shared" si="29"/>
        <v>1000</v>
      </c>
      <c r="AL61" s="53">
        <f t="shared" si="29"/>
        <v>1000</v>
      </c>
      <c r="AM61" s="53">
        <f t="shared" si="29"/>
        <v>1000</v>
      </c>
      <c r="AN61" s="53">
        <f t="shared" si="29"/>
        <v>1000</v>
      </c>
      <c r="AO61" s="53">
        <f t="shared" si="29"/>
        <v>1000</v>
      </c>
      <c r="AP61" s="53">
        <f t="shared" si="29"/>
        <v>1000</v>
      </c>
      <c r="AQ61" s="53">
        <f t="shared" si="29"/>
        <v>1000</v>
      </c>
      <c r="AR61" s="53">
        <f t="shared" si="29"/>
        <v>1000</v>
      </c>
      <c r="AS61" s="53">
        <f t="shared" si="29"/>
        <v>1000</v>
      </c>
      <c r="AT61" s="53">
        <f t="shared" si="29"/>
        <v>1000</v>
      </c>
      <c r="AU61" s="53">
        <f t="shared" si="29"/>
        <v>1000</v>
      </c>
      <c r="AV61" s="53">
        <f t="shared" si="29"/>
        <v>1000</v>
      </c>
      <c r="AW61" s="53">
        <f t="shared" si="29"/>
        <v>1000</v>
      </c>
      <c r="AX61" s="53">
        <f t="shared" si="29"/>
        <v>1000</v>
      </c>
      <c r="AY61" s="53">
        <f t="shared" si="29"/>
        <v>1000</v>
      </c>
      <c r="AZ61" s="53">
        <f t="shared" si="29"/>
        <v>1000</v>
      </c>
      <c r="BA61" s="53">
        <f t="shared" si="29"/>
        <v>1000</v>
      </c>
      <c r="BB61" s="53">
        <f t="shared" si="29"/>
        <v>1000</v>
      </c>
      <c r="BC61" s="53">
        <f t="shared" si="29"/>
        <v>1000</v>
      </c>
      <c r="BD61" s="53">
        <f t="shared" si="29"/>
        <v>1000</v>
      </c>
      <c r="BE61" s="53">
        <f t="shared" si="29"/>
        <v>1000</v>
      </c>
      <c r="BF61" s="53">
        <f t="shared" si="29"/>
        <v>1000</v>
      </c>
      <c r="BG61" s="53">
        <f t="shared" si="29"/>
        <v>1000</v>
      </c>
      <c r="BH61" s="53">
        <f t="shared" si="29"/>
        <v>1000</v>
      </c>
      <c r="BI61" s="53">
        <f t="shared" si="29"/>
        <v>1000</v>
      </c>
    </row>
    <row r="63" spans="1:61" x14ac:dyDescent="0.2">
      <c r="L63" s="57">
        <f>G4</f>
        <v>28</v>
      </c>
      <c r="M63" s="4">
        <f t="shared" ref="M63:AR63" si="30">L63+1</f>
        <v>29</v>
      </c>
      <c r="N63" s="4">
        <f t="shared" si="30"/>
        <v>30</v>
      </c>
      <c r="O63" s="4">
        <f t="shared" si="30"/>
        <v>31</v>
      </c>
      <c r="P63" s="4">
        <f t="shared" si="30"/>
        <v>32</v>
      </c>
      <c r="Q63" s="4">
        <f t="shared" si="30"/>
        <v>33</v>
      </c>
      <c r="R63" s="4">
        <f t="shared" si="30"/>
        <v>34</v>
      </c>
      <c r="S63" s="4">
        <f t="shared" si="30"/>
        <v>35</v>
      </c>
      <c r="T63" s="4">
        <f t="shared" si="30"/>
        <v>36</v>
      </c>
      <c r="U63" s="4">
        <f t="shared" si="30"/>
        <v>37</v>
      </c>
      <c r="V63" s="4">
        <f t="shared" si="30"/>
        <v>38</v>
      </c>
      <c r="W63" s="4">
        <f t="shared" si="30"/>
        <v>39</v>
      </c>
      <c r="X63" s="4">
        <f t="shared" si="30"/>
        <v>40</v>
      </c>
      <c r="Y63" s="4">
        <f t="shared" si="30"/>
        <v>41</v>
      </c>
      <c r="Z63" s="4">
        <f t="shared" si="30"/>
        <v>42</v>
      </c>
      <c r="AA63" s="4">
        <f t="shared" si="30"/>
        <v>43</v>
      </c>
      <c r="AB63" s="4">
        <f t="shared" si="30"/>
        <v>44</v>
      </c>
      <c r="AC63" s="4">
        <f t="shared" si="30"/>
        <v>45</v>
      </c>
      <c r="AD63" s="4">
        <f t="shared" si="30"/>
        <v>46</v>
      </c>
      <c r="AE63" s="4">
        <f t="shared" si="30"/>
        <v>47</v>
      </c>
      <c r="AF63" s="4">
        <f t="shared" si="30"/>
        <v>48</v>
      </c>
      <c r="AG63" s="4">
        <f t="shared" si="30"/>
        <v>49</v>
      </c>
      <c r="AH63" s="4">
        <f t="shared" si="30"/>
        <v>50</v>
      </c>
      <c r="AI63" s="4">
        <f t="shared" si="30"/>
        <v>51</v>
      </c>
      <c r="AJ63" s="4">
        <f t="shared" si="30"/>
        <v>52</v>
      </c>
      <c r="AK63" s="4">
        <f t="shared" si="30"/>
        <v>53</v>
      </c>
      <c r="AL63" s="4">
        <f t="shared" si="30"/>
        <v>54</v>
      </c>
      <c r="AM63" s="4">
        <f t="shared" si="30"/>
        <v>55</v>
      </c>
      <c r="AN63" s="4">
        <f t="shared" si="30"/>
        <v>56</v>
      </c>
      <c r="AO63" s="4">
        <f t="shared" si="30"/>
        <v>57</v>
      </c>
      <c r="AP63" s="4">
        <f t="shared" si="30"/>
        <v>58</v>
      </c>
      <c r="AQ63" s="4">
        <f t="shared" si="30"/>
        <v>59</v>
      </c>
      <c r="AR63" s="4">
        <f t="shared" si="30"/>
        <v>60</v>
      </c>
      <c r="AS63" s="4">
        <f t="shared" ref="AS63:BI63" si="31">AR63+1</f>
        <v>61</v>
      </c>
      <c r="AT63" s="4">
        <f t="shared" si="31"/>
        <v>62</v>
      </c>
      <c r="AU63" s="4">
        <f t="shared" si="31"/>
        <v>63</v>
      </c>
      <c r="AV63" s="4">
        <f t="shared" si="31"/>
        <v>64</v>
      </c>
      <c r="AW63" s="4">
        <f t="shared" si="31"/>
        <v>65</v>
      </c>
      <c r="AX63" s="4">
        <f t="shared" si="31"/>
        <v>66</v>
      </c>
      <c r="AY63" s="4">
        <f t="shared" si="31"/>
        <v>67</v>
      </c>
      <c r="AZ63" s="4">
        <f t="shared" si="31"/>
        <v>68</v>
      </c>
      <c r="BA63" s="4">
        <f t="shared" si="31"/>
        <v>69</v>
      </c>
      <c r="BB63" s="4">
        <f t="shared" si="31"/>
        <v>70</v>
      </c>
      <c r="BC63" s="4">
        <f t="shared" si="31"/>
        <v>71</v>
      </c>
      <c r="BD63" s="4">
        <f t="shared" si="31"/>
        <v>72</v>
      </c>
      <c r="BE63" s="4">
        <f t="shared" si="31"/>
        <v>73</v>
      </c>
      <c r="BF63" s="4">
        <f t="shared" si="31"/>
        <v>74</v>
      </c>
      <c r="BG63" s="4">
        <f t="shared" si="31"/>
        <v>75</v>
      </c>
      <c r="BH63" s="4">
        <f t="shared" si="31"/>
        <v>76</v>
      </c>
      <c r="BI63" s="4">
        <f t="shared" si="31"/>
        <v>77</v>
      </c>
    </row>
    <row r="64" spans="1:61" x14ac:dyDescent="0.2">
      <c r="I64" s="53">
        <f>Data8!C33</f>
        <v>1000</v>
      </c>
      <c r="K64" s="53" t="s">
        <v>32</v>
      </c>
      <c r="L64" s="79">
        <f>I64</f>
        <v>1000</v>
      </c>
      <c r="M64" s="64">
        <f t="shared" ref="M64:AR64" si="32">L64*(1+L66)</f>
        <v>1100</v>
      </c>
      <c r="N64" s="64">
        <f t="shared" si="32"/>
        <v>1210</v>
      </c>
      <c r="O64" s="64">
        <f t="shared" si="32"/>
        <v>1331</v>
      </c>
      <c r="P64" s="64">
        <f t="shared" si="32"/>
        <v>1464.1000000000001</v>
      </c>
      <c r="Q64" s="64">
        <f t="shared" si="32"/>
        <v>1610.5100000000002</v>
      </c>
      <c r="R64" s="64">
        <f t="shared" si="32"/>
        <v>1771.5610000000004</v>
      </c>
      <c r="S64" s="64">
        <f t="shared" si="32"/>
        <v>1948.7171000000005</v>
      </c>
      <c r="T64" s="64">
        <f t="shared" si="32"/>
        <v>2143.5888100000006</v>
      </c>
      <c r="U64" s="64">
        <f t="shared" si="32"/>
        <v>2357.9476910000008</v>
      </c>
      <c r="V64" s="64">
        <f t="shared" si="32"/>
        <v>2593.7424601000012</v>
      </c>
      <c r="W64" s="64">
        <f t="shared" si="32"/>
        <v>2853.1167061100014</v>
      </c>
      <c r="X64" s="64">
        <f t="shared" si="32"/>
        <v>3138.4283767210018</v>
      </c>
      <c r="Y64" s="64">
        <f t="shared" si="32"/>
        <v>3452.2712143931021</v>
      </c>
      <c r="Z64" s="64">
        <f t="shared" si="32"/>
        <v>3797.4983358324125</v>
      </c>
      <c r="AA64" s="64">
        <f t="shared" si="32"/>
        <v>4177.248169415654</v>
      </c>
      <c r="AB64" s="64">
        <f t="shared" si="32"/>
        <v>4594.9729863572202</v>
      </c>
      <c r="AC64" s="64">
        <f t="shared" si="32"/>
        <v>5054.4702849929427</v>
      </c>
      <c r="AD64" s="64">
        <f t="shared" si="32"/>
        <v>5559.9173134922376</v>
      </c>
      <c r="AE64" s="64">
        <f t="shared" si="32"/>
        <v>6115.9090448414618</v>
      </c>
      <c r="AF64" s="64">
        <f t="shared" si="32"/>
        <v>6727.4999493256082</v>
      </c>
      <c r="AG64" s="64">
        <f t="shared" si="32"/>
        <v>7400.2499442581693</v>
      </c>
      <c r="AH64" s="64">
        <f t="shared" si="32"/>
        <v>8140.2749386839869</v>
      </c>
      <c r="AI64" s="64">
        <f t="shared" si="32"/>
        <v>8954.3024325523857</v>
      </c>
      <c r="AJ64" s="64">
        <f t="shared" si="32"/>
        <v>9849.7326758076251</v>
      </c>
      <c r="AK64" s="4">
        <f t="shared" si="32"/>
        <v>10834.705943388388</v>
      </c>
      <c r="AL64" s="4">
        <f t="shared" si="32"/>
        <v>11918.176537727228</v>
      </c>
      <c r="AM64" s="4">
        <f t="shared" si="32"/>
        <v>13109.994191499951</v>
      </c>
      <c r="AN64" s="4">
        <f t="shared" si="32"/>
        <v>14420.993610649946</v>
      </c>
      <c r="AO64" s="4">
        <f t="shared" si="32"/>
        <v>15863.092971714943</v>
      </c>
      <c r="AP64" s="4">
        <f t="shared" si="32"/>
        <v>17449.402268886439</v>
      </c>
      <c r="AQ64" s="4">
        <f t="shared" si="32"/>
        <v>19194.342495775083</v>
      </c>
      <c r="AR64" s="4">
        <f t="shared" si="32"/>
        <v>21113.776745352592</v>
      </c>
      <c r="AS64" s="4">
        <f t="shared" ref="AS64:BI64" si="33">AR64*(1+AR66)</f>
        <v>23225.154419887855</v>
      </c>
      <c r="AT64" s="4">
        <f t="shared" si="33"/>
        <v>25547.669861876642</v>
      </c>
      <c r="AU64" s="4">
        <f t="shared" si="33"/>
        <v>28102.43684806431</v>
      </c>
      <c r="AV64" s="4">
        <f t="shared" si="33"/>
        <v>30912.680532870741</v>
      </c>
      <c r="AW64" s="4">
        <f t="shared" si="33"/>
        <v>34003.948586157821</v>
      </c>
      <c r="AX64" s="4">
        <f t="shared" si="33"/>
        <v>37404.343444773607</v>
      </c>
      <c r="AY64" s="4">
        <f t="shared" si="33"/>
        <v>41144.777789250969</v>
      </c>
      <c r="AZ64" s="4">
        <f t="shared" si="33"/>
        <v>45259.255568176071</v>
      </c>
      <c r="BA64" s="4">
        <f t="shared" si="33"/>
        <v>49785.18112499368</v>
      </c>
      <c r="BB64" s="4">
        <f t="shared" si="33"/>
        <v>54763.699237493056</v>
      </c>
      <c r="BC64" s="4">
        <f t="shared" si="33"/>
        <v>60240.069161242369</v>
      </c>
      <c r="BD64" s="4">
        <f t="shared" si="33"/>
        <v>66264.076077366612</v>
      </c>
      <c r="BE64" s="4">
        <f t="shared" si="33"/>
        <v>72890.483685103274</v>
      </c>
      <c r="BF64" s="4">
        <f t="shared" si="33"/>
        <v>80179.532053613613</v>
      </c>
      <c r="BG64" s="4">
        <f t="shared" si="33"/>
        <v>88197.485258974979</v>
      </c>
      <c r="BH64" s="4">
        <f t="shared" si="33"/>
        <v>97017.233784872486</v>
      </c>
      <c r="BI64" s="4">
        <f t="shared" si="33"/>
        <v>106718.95716335974</v>
      </c>
    </row>
    <row r="65" spans="9:61" x14ac:dyDescent="0.2">
      <c r="I65" s="53">
        <f>Data8!C26</f>
        <v>65</v>
      </c>
      <c r="K65" s="53" t="s">
        <v>34</v>
      </c>
      <c r="L65" s="65">
        <f>Data8!C21</f>
        <v>0.1</v>
      </c>
      <c r="M65" s="65">
        <f t="shared" ref="M65:AR65" si="34">L65</f>
        <v>0.1</v>
      </c>
      <c r="N65" s="65">
        <f t="shared" si="34"/>
        <v>0.1</v>
      </c>
      <c r="O65" s="65">
        <f t="shared" si="34"/>
        <v>0.1</v>
      </c>
      <c r="P65" s="65">
        <f t="shared" si="34"/>
        <v>0.1</v>
      </c>
      <c r="Q65" s="65">
        <f t="shared" si="34"/>
        <v>0.1</v>
      </c>
      <c r="R65" s="65">
        <f t="shared" si="34"/>
        <v>0.1</v>
      </c>
      <c r="S65" s="65">
        <f t="shared" si="34"/>
        <v>0.1</v>
      </c>
      <c r="T65" s="65">
        <f t="shared" si="34"/>
        <v>0.1</v>
      </c>
      <c r="U65" s="65">
        <f t="shared" si="34"/>
        <v>0.1</v>
      </c>
      <c r="V65" s="65">
        <f t="shared" si="34"/>
        <v>0.1</v>
      </c>
      <c r="W65" s="65">
        <f t="shared" si="34"/>
        <v>0.1</v>
      </c>
      <c r="X65" s="65">
        <f t="shared" si="34"/>
        <v>0.1</v>
      </c>
      <c r="Y65" s="65">
        <f t="shared" si="34"/>
        <v>0.1</v>
      </c>
      <c r="Z65" s="65">
        <f t="shared" si="34"/>
        <v>0.1</v>
      </c>
      <c r="AA65" s="65">
        <f t="shared" si="34"/>
        <v>0.1</v>
      </c>
      <c r="AB65" s="65">
        <f t="shared" si="34"/>
        <v>0.1</v>
      </c>
      <c r="AC65" s="65">
        <f t="shared" si="34"/>
        <v>0.1</v>
      </c>
      <c r="AD65" s="65">
        <f t="shared" si="34"/>
        <v>0.1</v>
      </c>
      <c r="AE65" s="65">
        <f t="shared" si="34"/>
        <v>0.1</v>
      </c>
      <c r="AF65" s="65">
        <f t="shared" si="34"/>
        <v>0.1</v>
      </c>
      <c r="AG65" s="65">
        <f t="shared" si="34"/>
        <v>0.1</v>
      </c>
      <c r="AH65" s="65">
        <f t="shared" si="34"/>
        <v>0.1</v>
      </c>
      <c r="AI65" s="65">
        <f t="shared" si="34"/>
        <v>0.1</v>
      </c>
      <c r="AJ65" s="65">
        <f t="shared" si="34"/>
        <v>0.1</v>
      </c>
      <c r="AK65" s="65">
        <f t="shared" si="34"/>
        <v>0.1</v>
      </c>
      <c r="AL65" s="4">
        <f t="shared" si="34"/>
        <v>0.1</v>
      </c>
      <c r="AM65" s="4">
        <f t="shared" si="34"/>
        <v>0.1</v>
      </c>
      <c r="AN65" s="4">
        <f t="shared" si="34"/>
        <v>0.1</v>
      </c>
      <c r="AO65" s="4">
        <f t="shared" si="34"/>
        <v>0.1</v>
      </c>
      <c r="AP65" s="4">
        <f t="shared" si="34"/>
        <v>0.1</v>
      </c>
      <c r="AQ65" s="4">
        <f t="shared" si="34"/>
        <v>0.1</v>
      </c>
      <c r="AR65" s="4">
        <f t="shared" si="34"/>
        <v>0.1</v>
      </c>
      <c r="AS65" s="4">
        <f t="shared" ref="AS65:BI65" si="35">AR65</f>
        <v>0.1</v>
      </c>
      <c r="AT65" s="4">
        <f t="shared" si="35"/>
        <v>0.1</v>
      </c>
      <c r="AU65" s="4">
        <f t="shared" si="35"/>
        <v>0.1</v>
      </c>
      <c r="AV65" s="4">
        <f t="shared" si="35"/>
        <v>0.1</v>
      </c>
      <c r="AW65" s="4">
        <f t="shared" si="35"/>
        <v>0.1</v>
      </c>
      <c r="AX65" s="4">
        <f t="shared" si="35"/>
        <v>0.1</v>
      </c>
      <c r="AY65" s="4">
        <f t="shared" si="35"/>
        <v>0.1</v>
      </c>
      <c r="AZ65" s="4">
        <f t="shared" si="35"/>
        <v>0.1</v>
      </c>
      <c r="BA65" s="4">
        <f t="shared" si="35"/>
        <v>0.1</v>
      </c>
      <c r="BB65" s="4">
        <f t="shared" si="35"/>
        <v>0.1</v>
      </c>
      <c r="BC65" s="4">
        <f t="shared" si="35"/>
        <v>0.1</v>
      </c>
      <c r="BD65" s="4">
        <f t="shared" si="35"/>
        <v>0.1</v>
      </c>
      <c r="BE65" s="4">
        <f t="shared" si="35"/>
        <v>0.1</v>
      </c>
      <c r="BF65" s="4">
        <f t="shared" si="35"/>
        <v>0.1</v>
      </c>
      <c r="BG65" s="4">
        <f t="shared" si="35"/>
        <v>0.1</v>
      </c>
      <c r="BH65" s="4">
        <f t="shared" si="35"/>
        <v>0.1</v>
      </c>
      <c r="BI65" s="4">
        <f t="shared" si="35"/>
        <v>0.1</v>
      </c>
    </row>
    <row r="66" spans="9:61" x14ac:dyDescent="0.2">
      <c r="I66" s="53">
        <f>Data8!C23</f>
        <v>0</v>
      </c>
      <c r="K66" s="53" t="s">
        <v>36</v>
      </c>
      <c r="L66" s="65">
        <f>G9</f>
        <v>0.1</v>
      </c>
      <c r="M66" s="65">
        <f t="shared" ref="M66:AR66" si="36">L66</f>
        <v>0.1</v>
      </c>
      <c r="N66" s="65">
        <f t="shared" si="36"/>
        <v>0.1</v>
      </c>
      <c r="O66" s="65">
        <f t="shared" si="36"/>
        <v>0.1</v>
      </c>
      <c r="P66" s="65">
        <f t="shared" si="36"/>
        <v>0.1</v>
      </c>
      <c r="Q66" s="65">
        <f t="shared" si="36"/>
        <v>0.1</v>
      </c>
      <c r="R66" s="65">
        <f t="shared" si="36"/>
        <v>0.1</v>
      </c>
      <c r="S66" s="65">
        <f t="shared" si="36"/>
        <v>0.1</v>
      </c>
      <c r="T66" s="65">
        <f t="shared" si="36"/>
        <v>0.1</v>
      </c>
      <c r="U66" s="65">
        <f t="shared" si="36"/>
        <v>0.1</v>
      </c>
      <c r="V66" s="65">
        <f t="shared" si="36"/>
        <v>0.1</v>
      </c>
      <c r="W66" s="65">
        <f t="shared" si="36"/>
        <v>0.1</v>
      </c>
      <c r="X66" s="65">
        <f t="shared" si="36"/>
        <v>0.1</v>
      </c>
      <c r="Y66" s="65">
        <f t="shared" si="36"/>
        <v>0.1</v>
      </c>
      <c r="Z66" s="65">
        <f t="shared" si="36"/>
        <v>0.1</v>
      </c>
      <c r="AA66" s="65">
        <f t="shared" si="36"/>
        <v>0.1</v>
      </c>
      <c r="AB66" s="65">
        <f t="shared" si="36"/>
        <v>0.1</v>
      </c>
      <c r="AC66" s="65">
        <f t="shared" si="36"/>
        <v>0.1</v>
      </c>
      <c r="AD66" s="65">
        <f t="shared" si="36"/>
        <v>0.1</v>
      </c>
      <c r="AE66" s="65">
        <f t="shared" si="36"/>
        <v>0.1</v>
      </c>
      <c r="AF66" s="65">
        <f t="shared" si="36"/>
        <v>0.1</v>
      </c>
      <c r="AG66" s="65">
        <f t="shared" si="36"/>
        <v>0.1</v>
      </c>
      <c r="AH66" s="65">
        <f t="shared" si="36"/>
        <v>0.1</v>
      </c>
      <c r="AI66" s="65">
        <f t="shared" si="36"/>
        <v>0.1</v>
      </c>
      <c r="AJ66" s="65">
        <f t="shared" si="36"/>
        <v>0.1</v>
      </c>
      <c r="AK66" s="65">
        <f t="shared" si="36"/>
        <v>0.1</v>
      </c>
      <c r="AL66" s="4">
        <f t="shared" si="36"/>
        <v>0.1</v>
      </c>
      <c r="AM66" s="4">
        <f t="shared" si="36"/>
        <v>0.1</v>
      </c>
      <c r="AN66" s="4">
        <f t="shared" si="36"/>
        <v>0.1</v>
      </c>
      <c r="AO66" s="4">
        <f t="shared" si="36"/>
        <v>0.1</v>
      </c>
      <c r="AP66" s="4">
        <f t="shared" si="36"/>
        <v>0.1</v>
      </c>
      <c r="AQ66" s="4">
        <f t="shared" si="36"/>
        <v>0.1</v>
      </c>
      <c r="AR66" s="4">
        <f t="shared" si="36"/>
        <v>0.1</v>
      </c>
      <c r="AS66" s="4">
        <f t="shared" ref="AS66:BI66" si="37">AR66</f>
        <v>0.1</v>
      </c>
      <c r="AT66" s="4">
        <f t="shared" si="37"/>
        <v>0.1</v>
      </c>
      <c r="AU66" s="4">
        <f t="shared" si="37"/>
        <v>0.1</v>
      </c>
      <c r="AV66" s="4">
        <f t="shared" si="37"/>
        <v>0.1</v>
      </c>
      <c r="AW66" s="4">
        <f t="shared" si="37"/>
        <v>0.1</v>
      </c>
      <c r="AX66" s="4">
        <f t="shared" si="37"/>
        <v>0.1</v>
      </c>
      <c r="AY66" s="4">
        <f t="shared" si="37"/>
        <v>0.1</v>
      </c>
      <c r="AZ66" s="4">
        <f t="shared" si="37"/>
        <v>0.1</v>
      </c>
      <c r="BA66" s="4">
        <f t="shared" si="37"/>
        <v>0.1</v>
      </c>
      <c r="BB66" s="4">
        <f t="shared" si="37"/>
        <v>0.1</v>
      </c>
      <c r="BC66" s="4">
        <f t="shared" si="37"/>
        <v>0.1</v>
      </c>
      <c r="BD66" s="4">
        <f t="shared" si="37"/>
        <v>0.1</v>
      </c>
      <c r="BE66" s="4">
        <f t="shared" si="37"/>
        <v>0.1</v>
      </c>
      <c r="BF66" s="4">
        <f t="shared" si="37"/>
        <v>0.1</v>
      </c>
      <c r="BG66" s="4">
        <f t="shared" si="37"/>
        <v>0.1</v>
      </c>
      <c r="BH66" s="4">
        <f t="shared" si="37"/>
        <v>0.1</v>
      </c>
      <c r="BI66" s="4">
        <f t="shared" si="37"/>
        <v>0.1</v>
      </c>
    </row>
    <row r="67" spans="9:61" x14ac:dyDescent="0.2">
      <c r="K67" s="53" t="s">
        <v>37</v>
      </c>
      <c r="L67" s="65">
        <f>Data8!C28</f>
        <v>0.02</v>
      </c>
      <c r="M67" s="65">
        <f t="shared" ref="M67:AR67" si="38">L67</f>
        <v>0.02</v>
      </c>
      <c r="N67" s="65">
        <f t="shared" si="38"/>
        <v>0.02</v>
      </c>
      <c r="O67" s="65">
        <f t="shared" si="38"/>
        <v>0.02</v>
      </c>
      <c r="P67" s="65">
        <f t="shared" si="38"/>
        <v>0.02</v>
      </c>
      <c r="Q67" s="65">
        <f t="shared" si="38"/>
        <v>0.02</v>
      </c>
      <c r="R67" s="65">
        <f t="shared" si="38"/>
        <v>0.02</v>
      </c>
      <c r="S67" s="65">
        <f t="shared" si="38"/>
        <v>0.02</v>
      </c>
      <c r="T67" s="65">
        <f t="shared" si="38"/>
        <v>0.02</v>
      </c>
      <c r="U67" s="65">
        <f t="shared" si="38"/>
        <v>0.02</v>
      </c>
      <c r="V67" s="65">
        <f t="shared" si="38"/>
        <v>0.02</v>
      </c>
      <c r="W67" s="65">
        <f t="shared" si="38"/>
        <v>0.02</v>
      </c>
      <c r="X67" s="65">
        <f t="shared" si="38"/>
        <v>0.02</v>
      </c>
      <c r="Y67" s="65">
        <f t="shared" si="38"/>
        <v>0.02</v>
      </c>
      <c r="Z67" s="65">
        <f t="shared" si="38"/>
        <v>0.02</v>
      </c>
      <c r="AA67" s="65">
        <f t="shared" si="38"/>
        <v>0.02</v>
      </c>
      <c r="AB67" s="65">
        <f t="shared" si="38"/>
        <v>0.02</v>
      </c>
      <c r="AC67" s="65">
        <f t="shared" si="38"/>
        <v>0.02</v>
      </c>
      <c r="AD67" s="65">
        <f t="shared" si="38"/>
        <v>0.02</v>
      </c>
      <c r="AE67" s="65">
        <f t="shared" si="38"/>
        <v>0.02</v>
      </c>
      <c r="AF67" s="65">
        <f t="shared" si="38"/>
        <v>0.02</v>
      </c>
      <c r="AG67" s="65">
        <f t="shared" si="38"/>
        <v>0.02</v>
      </c>
      <c r="AH67" s="65">
        <f t="shared" si="38"/>
        <v>0.02</v>
      </c>
      <c r="AI67" s="65">
        <f t="shared" si="38"/>
        <v>0.02</v>
      </c>
      <c r="AJ67" s="65">
        <f t="shared" si="38"/>
        <v>0.02</v>
      </c>
      <c r="AK67" s="65">
        <f t="shared" si="38"/>
        <v>0.02</v>
      </c>
      <c r="AL67" s="4">
        <f t="shared" si="38"/>
        <v>0.02</v>
      </c>
      <c r="AM67" s="4">
        <f t="shared" si="38"/>
        <v>0.02</v>
      </c>
      <c r="AN67" s="4">
        <f t="shared" si="38"/>
        <v>0.02</v>
      </c>
      <c r="AO67" s="4">
        <f t="shared" si="38"/>
        <v>0.02</v>
      </c>
      <c r="AP67" s="4">
        <f t="shared" si="38"/>
        <v>0.02</v>
      </c>
      <c r="AQ67" s="4">
        <f t="shared" si="38"/>
        <v>0.02</v>
      </c>
      <c r="AR67" s="4">
        <f t="shared" si="38"/>
        <v>0.02</v>
      </c>
      <c r="AS67" s="4">
        <f t="shared" ref="AS67:BI67" si="39">AR67</f>
        <v>0.02</v>
      </c>
      <c r="AT67" s="4">
        <f t="shared" si="39"/>
        <v>0.02</v>
      </c>
      <c r="AU67" s="4">
        <f t="shared" si="39"/>
        <v>0.02</v>
      </c>
      <c r="AV67" s="4">
        <f t="shared" si="39"/>
        <v>0.02</v>
      </c>
      <c r="AW67" s="4">
        <f t="shared" si="39"/>
        <v>0.02</v>
      </c>
      <c r="AX67" s="4">
        <f t="shared" si="39"/>
        <v>0.02</v>
      </c>
      <c r="AY67" s="4">
        <f t="shared" si="39"/>
        <v>0.02</v>
      </c>
      <c r="AZ67" s="4">
        <f t="shared" si="39"/>
        <v>0.02</v>
      </c>
      <c r="BA67" s="4">
        <f t="shared" si="39"/>
        <v>0.02</v>
      </c>
      <c r="BB67" s="4">
        <f t="shared" si="39"/>
        <v>0.02</v>
      </c>
      <c r="BC67" s="4">
        <f t="shared" si="39"/>
        <v>0.02</v>
      </c>
      <c r="BD67" s="4">
        <f t="shared" si="39"/>
        <v>0.02</v>
      </c>
      <c r="BE67" s="4">
        <f t="shared" si="39"/>
        <v>0.02</v>
      </c>
      <c r="BF67" s="4">
        <f t="shared" si="39"/>
        <v>0.02</v>
      </c>
      <c r="BG67" s="4">
        <f t="shared" si="39"/>
        <v>0.02</v>
      </c>
      <c r="BH67" s="4">
        <f t="shared" si="39"/>
        <v>0.02</v>
      </c>
      <c r="BI67" s="4">
        <f t="shared" si="39"/>
        <v>0.02</v>
      </c>
    </row>
    <row r="68" spans="9:61" x14ac:dyDescent="0.2">
      <c r="K68" s="53" t="s">
        <v>39</v>
      </c>
      <c r="L68" s="65">
        <f>L65-L67</f>
        <v>0.08</v>
      </c>
      <c r="M68" s="65">
        <f t="shared" ref="M68:AR68" si="40">L68</f>
        <v>0.08</v>
      </c>
      <c r="N68" s="65">
        <f t="shared" si="40"/>
        <v>0.08</v>
      </c>
      <c r="O68" s="65">
        <f t="shared" si="40"/>
        <v>0.08</v>
      </c>
      <c r="P68" s="65">
        <f t="shared" si="40"/>
        <v>0.08</v>
      </c>
      <c r="Q68" s="65">
        <f t="shared" si="40"/>
        <v>0.08</v>
      </c>
      <c r="R68" s="65">
        <f t="shared" si="40"/>
        <v>0.08</v>
      </c>
      <c r="S68" s="65">
        <f t="shared" si="40"/>
        <v>0.08</v>
      </c>
      <c r="T68" s="65">
        <f t="shared" si="40"/>
        <v>0.08</v>
      </c>
      <c r="U68" s="65">
        <f t="shared" si="40"/>
        <v>0.08</v>
      </c>
      <c r="V68" s="65">
        <f t="shared" si="40"/>
        <v>0.08</v>
      </c>
      <c r="W68" s="65">
        <f t="shared" si="40"/>
        <v>0.08</v>
      </c>
      <c r="X68" s="65">
        <f t="shared" si="40"/>
        <v>0.08</v>
      </c>
      <c r="Y68" s="65">
        <f t="shared" si="40"/>
        <v>0.08</v>
      </c>
      <c r="Z68" s="65">
        <f t="shared" si="40"/>
        <v>0.08</v>
      </c>
      <c r="AA68" s="65">
        <f t="shared" si="40"/>
        <v>0.08</v>
      </c>
      <c r="AB68" s="65">
        <f t="shared" si="40"/>
        <v>0.08</v>
      </c>
      <c r="AC68" s="65">
        <f t="shared" si="40"/>
        <v>0.08</v>
      </c>
      <c r="AD68" s="65">
        <f t="shared" si="40"/>
        <v>0.08</v>
      </c>
      <c r="AE68" s="65">
        <f t="shared" si="40"/>
        <v>0.08</v>
      </c>
      <c r="AF68" s="65">
        <f t="shared" si="40"/>
        <v>0.08</v>
      </c>
      <c r="AG68" s="65">
        <f t="shared" si="40"/>
        <v>0.08</v>
      </c>
      <c r="AH68" s="65">
        <f t="shared" si="40"/>
        <v>0.08</v>
      </c>
      <c r="AI68" s="65">
        <f t="shared" si="40"/>
        <v>0.08</v>
      </c>
      <c r="AJ68" s="65">
        <f t="shared" si="40"/>
        <v>0.08</v>
      </c>
      <c r="AK68" s="65">
        <f t="shared" si="40"/>
        <v>0.08</v>
      </c>
      <c r="AL68" s="4">
        <f t="shared" si="40"/>
        <v>0.08</v>
      </c>
      <c r="AM68" s="4">
        <f t="shared" si="40"/>
        <v>0.08</v>
      </c>
      <c r="AN68" s="4">
        <f t="shared" si="40"/>
        <v>0.08</v>
      </c>
      <c r="AO68" s="4">
        <f t="shared" si="40"/>
        <v>0.08</v>
      </c>
      <c r="AP68" s="4">
        <f t="shared" si="40"/>
        <v>0.08</v>
      </c>
      <c r="AQ68" s="4">
        <f t="shared" si="40"/>
        <v>0.08</v>
      </c>
      <c r="AR68" s="4">
        <f t="shared" si="40"/>
        <v>0.08</v>
      </c>
      <c r="AS68" s="4">
        <f t="shared" ref="AS68:BI68" si="41">AR68</f>
        <v>0.08</v>
      </c>
      <c r="AT68" s="4">
        <f t="shared" si="41"/>
        <v>0.08</v>
      </c>
      <c r="AU68" s="4">
        <f t="shared" si="41"/>
        <v>0.08</v>
      </c>
      <c r="AV68" s="4">
        <f t="shared" si="41"/>
        <v>0.08</v>
      </c>
      <c r="AW68" s="4">
        <f t="shared" si="41"/>
        <v>0.08</v>
      </c>
      <c r="AX68" s="4">
        <f t="shared" si="41"/>
        <v>0.08</v>
      </c>
      <c r="AY68" s="4">
        <f t="shared" si="41"/>
        <v>0.08</v>
      </c>
      <c r="AZ68" s="4">
        <f t="shared" si="41"/>
        <v>0.08</v>
      </c>
      <c r="BA68" s="4">
        <f t="shared" si="41"/>
        <v>0.08</v>
      </c>
      <c r="BB68" s="4">
        <f t="shared" si="41"/>
        <v>0.08</v>
      </c>
      <c r="BC68" s="4">
        <f t="shared" si="41"/>
        <v>0.08</v>
      </c>
      <c r="BD68" s="4">
        <f t="shared" si="41"/>
        <v>0.08</v>
      </c>
      <c r="BE68" s="4">
        <f t="shared" si="41"/>
        <v>0.08</v>
      </c>
      <c r="BF68" s="4">
        <f t="shared" si="41"/>
        <v>0.08</v>
      </c>
      <c r="BG68" s="4">
        <f t="shared" si="41"/>
        <v>0.08</v>
      </c>
      <c r="BH68" s="4">
        <f t="shared" si="41"/>
        <v>0.08</v>
      </c>
      <c r="BI68" s="4">
        <f t="shared" si="41"/>
        <v>0.08</v>
      </c>
    </row>
    <row r="69" spans="9:61" x14ac:dyDescent="0.2">
      <c r="K69" s="53" t="s">
        <v>40</v>
      </c>
      <c r="L69" s="80">
        <f>FV(L68/12,12,-L64,-I66)</f>
        <v>12449.926021126499</v>
      </c>
      <c r="M69" s="67">
        <f t="shared" ref="M69:AR69" si="42">FV(M68/12,12,-M64,-L69)</f>
        <v>27178.182363909131</v>
      </c>
      <c r="N69" s="67">
        <f t="shared" si="42"/>
        <v>44498.368581601215</v>
      </c>
      <c r="O69" s="67">
        <f t="shared" si="42"/>
        <v>64762.562761732283</v>
      </c>
      <c r="P69" s="67">
        <f t="shared" si="42"/>
        <v>88365.76021807779</v>
      </c>
      <c r="Q69" s="67">
        <f t="shared" si="42"/>
        <v>115750.80509113338</v>
      </c>
      <c r="R69" s="67">
        <f t="shared" si="42"/>
        <v>147413.86821818256</v>
      </c>
      <c r="S69" s="67">
        <f t="shared" si="42"/>
        <v>183910.53030798316</v>
      </c>
      <c r="T69" s="67">
        <f t="shared" si="42"/>
        <v>225862.53572446798</v>
      </c>
      <c r="U69" s="67">
        <f t="shared" si="42"/>
        <v>273965.28911052848</v>
      </c>
      <c r="V69" s="67">
        <f t="shared" si="42"/>
        <v>328996.17473517888</v>
      </c>
      <c r="W69" s="67">
        <f t="shared" si="42"/>
        <v>391823.78690046578</v>
      </c>
      <c r="X69" s="67">
        <f t="shared" si="42"/>
        <v>463418.16908143595</v>
      </c>
      <c r="Y69" s="67">
        <f t="shared" si="42"/>
        <v>544862.16978489305</v>
      </c>
      <c r="Z69" s="67">
        <f t="shared" si="42"/>
        <v>637364.03450157354</v>
      </c>
      <c r="AA69" s="67">
        <f t="shared" si="42"/>
        <v>742271.36570315983</v>
      </c>
      <c r="AB69" s="67">
        <f t="shared" si="42"/>
        <v>861086.59672308108</v>
      </c>
      <c r="AC69" s="67">
        <f t="shared" si="42"/>
        <v>995484.14069379843</v>
      </c>
      <c r="AD69" s="67">
        <f t="shared" si="42"/>
        <v>1147329.3926426405</v>
      </c>
      <c r="AE69" s="67">
        <f t="shared" si="42"/>
        <v>1318699.7815379545</v>
      </c>
      <c r="AF69" s="67">
        <f t="shared" si="42"/>
        <v>1511908.0897090118</v>
      </c>
      <c r="AG69" s="67">
        <f t="shared" si="42"/>
        <v>1729528.2798370041</v>
      </c>
      <c r="AH69" s="67">
        <f t="shared" si="42"/>
        <v>1974424.0948513625</v>
      </c>
      <c r="AI69" s="67">
        <f t="shared" si="42"/>
        <v>2249780.7238089601</v>
      </c>
      <c r="AJ69" s="67">
        <f t="shared" si="42"/>
        <v>2559139.857451824</v>
      </c>
      <c r="AK69" s="4">
        <f t="shared" si="42"/>
        <v>2906438.4909276119</v>
      </c>
      <c r="AL69" s="4">
        <f t="shared" si="42"/>
        <v>3296051.8684423966</v>
      </c>
      <c r="AM69" s="4">
        <f t="shared" si="42"/>
        <v>3732841.0057566599</v>
      </c>
      <c r="AN69" s="4">
        <f t="shared" si="42"/>
        <v>4222205.2718290426</v>
      </c>
      <c r="AO69" s="4">
        <f t="shared" si="42"/>
        <v>4770140.5609950246</v>
      </c>
      <c r="AP69" s="4">
        <f t="shared" si="42"/>
        <v>5383303.6423206236</v>
      </c>
      <c r="AQ69" s="4">
        <f t="shared" si="42"/>
        <v>6069083.3337248722</v>
      </c>
      <c r="AR69" s="4">
        <f t="shared" si="42"/>
        <v>6835679.2157039363</v>
      </c>
      <c r="AS69" s="4">
        <f t="shared" ref="AS69:BI69" si="43">FV(AS68/12,12,-AS64,-AR69)</f>
        <v>7692188.6736585526</v>
      </c>
      <c r="AT69" s="4">
        <f t="shared" si="43"/>
        <v>8648703.1396350544</v>
      </c>
      <c r="AU69" s="4">
        <f t="shared" si="43"/>
        <v>9716414.4945211057</v>
      </c>
      <c r="AV69" s="4">
        <f t="shared" si="43"/>
        <v>10907732.691252656</v>
      </c>
      <c r="AW69" s="4">
        <f t="shared" si="43"/>
        <v>12236415.769338634</v>
      </c>
      <c r="AX69" s="4">
        <f t="shared" si="43"/>
        <v>13717713.552041618</v>
      </c>
      <c r="AY69" s="4">
        <f t="shared" si="43"/>
        <v>15368526.451019632</v>
      </c>
      <c r="AZ69" s="4">
        <f t="shared" si="43"/>
        <v>17207580.950407483</v>
      </c>
      <c r="BA69" s="4">
        <f t="shared" si="43"/>
        <v>19255623.504596163</v>
      </c>
      <c r="BB69" s="4">
        <f t="shared" si="43"/>
        <v>21535634.762898751</v>
      </c>
      <c r="BC69" s="4">
        <f t="shared" si="43"/>
        <v>24073066.231571026</v>
      </c>
      <c r="BD69" s="4">
        <f t="shared" si="43"/>
        <v>26896101.701157458</v>
      </c>
      <c r="BE69" s="4">
        <f t="shared" si="43"/>
        <v>30035946.006921824</v>
      </c>
      <c r="BF69" s="4">
        <f t="shared" si="43"/>
        <v>33527143.954469368</v>
      </c>
      <c r="BG69" s="4">
        <f t="shared" si="43"/>
        <v>37407932.534078345</v>
      </c>
      <c r="BH69" s="4">
        <f t="shared" si="43"/>
        <v>41720629.868491456</v>
      </c>
      <c r="BI69" s="4">
        <f t="shared" si="43"/>
        <v>46512064.693010516</v>
      </c>
    </row>
    <row r="71" spans="9:61" x14ac:dyDescent="0.2">
      <c r="K71" s="53" t="s">
        <v>42</v>
      </c>
      <c r="L71" s="79">
        <f>L64*12</f>
        <v>12000</v>
      </c>
      <c r="M71" s="79">
        <f t="shared" ref="M71:AR71" si="44">(M64*12)+L71</f>
        <v>25200</v>
      </c>
      <c r="N71" s="79">
        <f t="shared" si="44"/>
        <v>39720</v>
      </c>
      <c r="O71" s="79">
        <f t="shared" si="44"/>
        <v>55692</v>
      </c>
      <c r="P71" s="79">
        <f t="shared" si="44"/>
        <v>73261.2</v>
      </c>
      <c r="Q71" s="79">
        <f t="shared" si="44"/>
        <v>92587.32</v>
      </c>
      <c r="R71" s="79">
        <f t="shared" si="44"/>
        <v>113846.05200000001</v>
      </c>
      <c r="S71" s="79">
        <f t="shared" si="44"/>
        <v>137230.65720000002</v>
      </c>
      <c r="T71" s="79">
        <f t="shared" si="44"/>
        <v>162953.72292000003</v>
      </c>
      <c r="U71" s="79">
        <f t="shared" si="44"/>
        <v>191249.09521200004</v>
      </c>
      <c r="V71" s="79">
        <f t="shared" si="44"/>
        <v>222374.00473320007</v>
      </c>
      <c r="W71" s="79">
        <f t="shared" si="44"/>
        <v>256611.40520652008</v>
      </c>
      <c r="X71" s="79">
        <f t="shared" si="44"/>
        <v>294272.54572717211</v>
      </c>
      <c r="Y71" s="79">
        <f t="shared" si="44"/>
        <v>335699.80029988935</v>
      </c>
      <c r="Z71" s="79">
        <f t="shared" si="44"/>
        <v>381269.78032987833</v>
      </c>
      <c r="AA71" s="79">
        <f t="shared" si="44"/>
        <v>431396.75836286618</v>
      </c>
      <c r="AB71" s="79">
        <f t="shared" si="44"/>
        <v>486536.43419915281</v>
      </c>
      <c r="AC71" s="79">
        <f t="shared" si="44"/>
        <v>547190.07761906809</v>
      </c>
      <c r="AD71" s="79">
        <f t="shared" si="44"/>
        <v>613909.08538097492</v>
      </c>
      <c r="AE71" s="79">
        <f t="shared" si="44"/>
        <v>687299.99391907244</v>
      </c>
      <c r="AF71" s="79">
        <f t="shared" si="44"/>
        <v>768029.9933109798</v>
      </c>
      <c r="AG71" s="79">
        <f t="shared" si="44"/>
        <v>856832.99264207785</v>
      </c>
      <c r="AH71" s="79">
        <f t="shared" si="44"/>
        <v>954516.29190628568</v>
      </c>
      <c r="AI71" s="79">
        <f t="shared" si="44"/>
        <v>1061967.9210969142</v>
      </c>
      <c r="AJ71" s="79">
        <f t="shared" si="44"/>
        <v>1180164.7132066058</v>
      </c>
      <c r="AK71" s="79">
        <f t="shared" si="44"/>
        <v>1310181.1845272663</v>
      </c>
      <c r="AL71" s="79">
        <f t="shared" si="44"/>
        <v>1453199.3029799932</v>
      </c>
      <c r="AM71" s="79">
        <f t="shared" si="44"/>
        <v>1610519.2332779926</v>
      </c>
      <c r="AN71" s="79">
        <f t="shared" si="44"/>
        <v>1783571.156605792</v>
      </c>
      <c r="AO71" s="79">
        <f t="shared" si="44"/>
        <v>1973928.2722663714</v>
      </c>
      <c r="AP71" s="79">
        <f t="shared" si="44"/>
        <v>2183321.0994930086</v>
      </c>
      <c r="AQ71" s="79">
        <f t="shared" si="44"/>
        <v>2413653.2094423096</v>
      </c>
      <c r="AR71" s="79">
        <f t="shared" si="44"/>
        <v>2667018.5303865406</v>
      </c>
      <c r="AS71" s="79">
        <f t="shared" ref="AS71:BI71" si="45">(AS64*12)+AR71</f>
        <v>2945720.3834251948</v>
      </c>
      <c r="AT71" s="79">
        <f t="shared" si="45"/>
        <v>3252292.4217677144</v>
      </c>
      <c r="AU71" s="79">
        <f t="shared" si="45"/>
        <v>3589521.6639444861</v>
      </c>
      <c r="AV71" s="79">
        <f t="shared" si="45"/>
        <v>3960473.8303389349</v>
      </c>
      <c r="AW71" s="79">
        <f t="shared" si="45"/>
        <v>4368521.2133728284</v>
      </c>
      <c r="AX71" s="79">
        <f t="shared" si="45"/>
        <v>4817373.3347101118</v>
      </c>
      <c r="AY71" s="79">
        <f t="shared" si="45"/>
        <v>5311110.6681811232</v>
      </c>
      <c r="AZ71" s="79">
        <f t="shared" si="45"/>
        <v>5854221.7349992357</v>
      </c>
      <c r="BA71" s="79">
        <f t="shared" si="45"/>
        <v>6451643.9084991599</v>
      </c>
      <c r="BB71" s="79">
        <f t="shared" si="45"/>
        <v>7108808.299349077</v>
      </c>
      <c r="BC71" s="79">
        <f t="shared" si="45"/>
        <v>7831689.1292839851</v>
      </c>
      <c r="BD71" s="79">
        <f t="shared" si="45"/>
        <v>8626858.0422123838</v>
      </c>
      <c r="BE71" s="79">
        <f t="shared" si="45"/>
        <v>9501543.8464336228</v>
      </c>
      <c r="BF71" s="79">
        <f t="shared" si="45"/>
        <v>10463698.231076986</v>
      </c>
      <c r="BG71" s="79">
        <f t="shared" si="45"/>
        <v>11522068.054184686</v>
      </c>
      <c r="BH71" s="79">
        <f t="shared" si="45"/>
        <v>12686274.859603155</v>
      </c>
      <c r="BI71" s="79">
        <f t="shared" si="45"/>
        <v>13966902.345563471</v>
      </c>
    </row>
    <row r="72" spans="9:61" x14ac:dyDescent="0.2">
      <c r="K72" s="4"/>
      <c r="AK72" s="57"/>
    </row>
    <row r="73" spans="9:61" x14ac:dyDescent="0.2">
      <c r="L73" s="71"/>
      <c r="M73" s="71"/>
      <c r="N73" s="71"/>
      <c r="R73" s="58">
        <f t="shared" ref="R73:AH73" si="46">PMT(0%,65-39,,-R71)</f>
        <v>4378.694307692308</v>
      </c>
      <c r="S73" s="58">
        <f t="shared" si="46"/>
        <v>5278.1022000000003</v>
      </c>
      <c r="T73" s="58">
        <f t="shared" si="46"/>
        <v>6267.4508815384625</v>
      </c>
      <c r="U73" s="58">
        <f t="shared" si="46"/>
        <v>7355.7344312307705</v>
      </c>
      <c r="V73" s="58">
        <f t="shared" si="46"/>
        <v>8552.8463358923109</v>
      </c>
      <c r="W73" s="58">
        <f t="shared" si="46"/>
        <v>9869.6694310200037</v>
      </c>
      <c r="X73" s="58">
        <f t="shared" si="46"/>
        <v>11318.174835660466</v>
      </c>
      <c r="Y73" s="58">
        <f t="shared" si="46"/>
        <v>12911.530780764975</v>
      </c>
      <c r="Z73" s="58">
        <f t="shared" si="46"/>
        <v>14664.222320379935</v>
      </c>
      <c r="AA73" s="58">
        <f t="shared" si="46"/>
        <v>16592.18301395639</v>
      </c>
      <c r="AB73" s="58">
        <f t="shared" si="46"/>
        <v>18712.939776890493</v>
      </c>
      <c r="AC73" s="58">
        <f t="shared" si="46"/>
        <v>21045.772216118003</v>
      </c>
      <c r="AD73" s="58">
        <f t="shared" si="46"/>
        <v>23611.887899268266</v>
      </c>
      <c r="AE73" s="58">
        <f t="shared" si="46"/>
        <v>26434.615150733556</v>
      </c>
      <c r="AF73" s="58">
        <f t="shared" si="46"/>
        <v>29539.615127345376</v>
      </c>
      <c r="AG73" s="58">
        <f t="shared" si="46"/>
        <v>32955.115101618379</v>
      </c>
      <c r="AH73" s="58">
        <f t="shared" si="46"/>
        <v>36712.165073318683</v>
      </c>
      <c r="AI73" s="58">
        <f>PMT(0%,65-39,,-AI71)</f>
        <v>40844.920042189005</v>
      </c>
      <c r="AJ73" s="58">
        <f>PMT(0%,65-39,,-AJ71)</f>
        <v>45390.950507946378</v>
      </c>
      <c r="AK73" s="58">
        <f>PMT(0%,G49-(G48-1),,-AK71)</f>
        <v>655090.59226363315</v>
      </c>
      <c r="AL73" s="58">
        <f t="shared" ref="AL73:BE73" si="47">PMT(0%,65-39,,-AL71)</f>
        <v>55892.280883845888</v>
      </c>
      <c r="AM73" s="58">
        <f t="shared" si="47"/>
        <v>61943.047433768945</v>
      </c>
      <c r="AN73" s="58">
        <f t="shared" si="47"/>
        <v>68598.890638684301</v>
      </c>
      <c r="AO73" s="58">
        <f t="shared" si="47"/>
        <v>75920.318164091208</v>
      </c>
      <c r="AP73" s="58">
        <f t="shared" si="47"/>
        <v>83973.888442038791</v>
      </c>
      <c r="AQ73" s="58">
        <f t="shared" si="47"/>
        <v>92832.815747781133</v>
      </c>
      <c r="AR73" s="58">
        <f t="shared" si="47"/>
        <v>102577.63578409771</v>
      </c>
      <c r="AS73" s="58">
        <f t="shared" si="47"/>
        <v>113296.93782404595</v>
      </c>
      <c r="AT73" s="58">
        <f t="shared" si="47"/>
        <v>125088.17006798902</v>
      </c>
      <c r="AU73" s="58">
        <f t="shared" si="47"/>
        <v>138058.5255363264</v>
      </c>
      <c r="AV73" s="58">
        <f t="shared" si="47"/>
        <v>152325.9165514975</v>
      </c>
      <c r="AW73" s="58">
        <f t="shared" si="47"/>
        <v>168020.04666818571</v>
      </c>
      <c r="AX73" s="58">
        <f t="shared" si="47"/>
        <v>185283.58979654277</v>
      </c>
      <c r="AY73" s="58">
        <f t="shared" si="47"/>
        <v>204273.48723773551</v>
      </c>
      <c r="AZ73" s="58">
        <f t="shared" si="47"/>
        <v>225162.37442304753</v>
      </c>
      <c r="BA73" s="58">
        <f t="shared" si="47"/>
        <v>248140.15032689075</v>
      </c>
      <c r="BB73" s="58">
        <f t="shared" si="47"/>
        <v>273415.70382111834</v>
      </c>
      <c r="BC73" s="58">
        <f t="shared" si="47"/>
        <v>301218.81266476866</v>
      </c>
      <c r="BD73" s="58">
        <f t="shared" si="47"/>
        <v>331802.23239278398</v>
      </c>
      <c r="BE73" s="58">
        <f t="shared" si="47"/>
        <v>365443.99409360089</v>
      </c>
      <c r="BF73" s="58">
        <f>PMT(0%,65-39,,-BF71)</f>
        <v>402449.93196449947</v>
      </c>
      <c r="BG73" s="58">
        <f>PMT(0%,65-39,,-BG71)</f>
        <v>443156.46362248797</v>
      </c>
      <c r="BH73" s="58">
        <f>PMT(0%,65-39,,-BH71)</f>
        <v>487933.64844627521</v>
      </c>
      <c r="BI73" s="58">
        <f>PMT(0%,65-39,,-BI71)</f>
        <v>537188.55175244121</v>
      </c>
    </row>
    <row r="74" spans="9:61" x14ac:dyDescent="0.2">
      <c r="K74" s="58">
        <f>AK77</f>
        <v>0</v>
      </c>
      <c r="M74" s="58">
        <f>K75-L47</f>
        <v>12236415.769338634</v>
      </c>
      <c r="N74" s="53" t="e">
        <f>M74/L47</f>
        <v>#DIV/0!</v>
      </c>
      <c r="O74" s="86">
        <f>M58*O76</f>
        <v>0</v>
      </c>
      <c r="R74" s="58">
        <f t="shared" ref="R74:BI74" si="48">R73/12</f>
        <v>364.89119230769234</v>
      </c>
      <c r="S74" s="58">
        <f t="shared" si="48"/>
        <v>439.84185000000002</v>
      </c>
      <c r="T74" s="58">
        <f t="shared" si="48"/>
        <v>522.2875734615385</v>
      </c>
      <c r="U74" s="58">
        <f t="shared" si="48"/>
        <v>612.97786926923084</v>
      </c>
      <c r="V74" s="58">
        <f t="shared" si="48"/>
        <v>712.73719465769261</v>
      </c>
      <c r="W74" s="58">
        <f t="shared" si="48"/>
        <v>822.47245258500027</v>
      </c>
      <c r="X74" s="58">
        <f t="shared" si="48"/>
        <v>943.18123630503885</v>
      </c>
      <c r="Y74" s="58">
        <f t="shared" si="48"/>
        <v>1075.9608983970813</v>
      </c>
      <c r="Z74" s="58">
        <f t="shared" si="48"/>
        <v>1222.0185266983278</v>
      </c>
      <c r="AA74" s="58">
        <f t="shared" si="48"/>
        <v>1382.6819178296992</v>
      </c>
      <c r="AB74" s="58">
        <f t="shared" si="48"/>
        <v>1559.4116480742077</v>
      </c>
      <c r="AC74" s="58">
        <f t="shared" si="48"/>
        <v>1753.8143513431669</v>
      </c>
      <c r="AD74" s="58">
        <f t="shared" si="48"/>
        <v>1967.6573249390221</v>
      </c>
      <c r="AE74" s="58">
        <f t="shared" si="48"/>
        <v>2202.884595894463</v>
      </c>
      <c r="AF74" s="58">
        <f t="shared" si="48"/>
        <v>2461.6345939454482</v>
      </c>
      <c r="AG74" s="58">
        <f t="shared" si="48"/>
        <v>2746.2595918015318</v>
      </c>
      <c r="AH74" s="58">
        <f t="shared" si="48"/>
        <v>3059.3470894432235</v>
      </c>
      <c r="AI74" s="58">
        <f t="shared" si="48"/>
        <v>3403.7433368490838</v>
      </c>
      <c r="AJ74" s="58">
        <f t="shared" si="48"/>
        <v>3782.5792089955316</v>
      </c>
      <c r="AK74" s="58">
        <f t="shared" si="48"/>
        <v>54590.882688636098</v>
      </c>
      <c r="AL74" s="58">
        <f t="shared" si="48"/>
        <v>4657.6900736538237</v>
      </c>
      <c r="AM74" s="58">
        <f t="shared" si="48"/>
        <v>5161.9206194807457</v>
      </c>
      <c r="AN74" s="58">
        <f t="shared" si="48"/>
        <v>5716.5742198903581</v>
      </c>
      <c r="AO74" s="58">
        <f t="shared" si="48"/>
        <v>6326.6931803409343</v>
      </c>
      <c r="AP74" s="58">
        <f t="shared" si="48"/>
        <v>6997.8240368365659</v>
      </c>
      <c r="AQ74" s="58">
        <f t="shared" si="48"/>
        <v>7736.0679789817614</v>
      </c>
      <c r="AR74" s="58">
        <f t="shared" si="48"/>
        <v>8548.1363153414768</v>
      </c>
      <c r="AS74" s="58">
        <f t="shared" si="48"/>
        <v>9441.411485337163</v>
      </c>
      <c r="AT74" s="58">
        <f t="shared" si="48"/>
        <v>10424.014172332418</v>
      </c>
      <c r="AU74" s="58">
        <f t="shared" si="48"/>
        <v>11504.877128027199</v>
      </c>
      <c r="AV74" s="58">
        <f t="shared" si="48"/>
        <v>12693.826379291459</v>
      </c>
      <c r="AW74" s="58">
        <f t="shared" si="48"/>
        <v>14001.670555682142</v>
      </c>
      <c r="AX74" s="58">
        <f t="shared" si="48"/>
        <v>15440.299149711898</v>
      </c>
      <c r="AY74" s="58">
        <f t="shared" si="48"/>
        <v>17022.790603144625</v>
      </c>
      <c r="AZ74" s="58">
        <f t="shared" si="48"/>
        <v>18763.531201920629</v>
      </c>
      <c r="BA74" s="58">
        <f t="shared" si="48"/>
        <v>20678.345860574231</v>
      </c>
      <c r="BB74" s="58">
        <f t="shared" si="48"/>
        <v>22784.641985093196</v>
      </c>
      <c r="BC74" s="58">
        <f t="shared" si="48"/>
        <v>25101.567722064054</v>
      </c>
      <c r="BD74" s="58">
        <f t="shared" si="48"/>
        <v>27650.186032731999</v>
      </c>
      <c r="BE74" s="58">
        <f t="shared" si="48"/>
        <v>30453.66617446674</v>
      </c>
      <c r="BF74" s="58">
        <f t="shared" si="48"/>
        <v>33537.494330374953</v>
      </c>
      <c r="BG74" s="58">
        <f t="shared" si="48"/>
        <v>36929.705301873997</v>
      </c>
      <c r="BH74" s="58">
        <f t="shared" si="48"/>
        <v>40661.137370522934</v>
      </c>
      <c r="BI74" s="58">
        <f t="shared" si="48"/>
        <v>44765.712646036765</v>
      </c>
    </row>
    <row r="75" spans="9:61" x14ac:dyDescent="0.2">
      <c r="K75" s="4">
        <f>HLOOKUP(I65,L63:BI69,7)</f>
        <v>12236415.769338634</v>
      </c>
    </row>
    <row r="77" spans="9:61" x14ac:dyDescent="0.2">
      <c r="K77" s="58">
        <f>Data!E17</f>
        <v>1432908.8053645189</v>
      </c>
    </row>
    <row r="78" spans="9:61" x14ac:dyDescent="0.2">
      <c r="K78" s="58">
        <f>K77/12</f>
        <v>119409.06711370991</v>
      </c>
    </row>
    <row r="79" spans="9:61" x14ac:dyDescent="0.2">
      <c r="K79" s="53">
        <v>66</v>
      </c>
      <c r="L79" s="53">
        <f>K79+1</f>
        <v>67</v>
      </c>
      <c r="M79" s="53">
        <f t="shared" ref="M79:Z79" si="49">L79+1</f>
        <v>68</v>
      </c>
      <c r="N79" s="53">
        <f t="shared" si="49"/>
        <v>69</v>
      </c>
      <c r="O79" s="53">
        <f t="shared" si="49"/>
        <v>70</v>
      </c>
      <c r="P79" s="53">
        <f t="shared" si="49"/>
        <v>71</v>
      </c>
      <c r="Q79" s="53">
        <f t="shared" si="49"/>
        <v>72</v>
      </c>
      <c r="R79" s="53">
        <f t="shared" si="49"/>
        <v>73</v>
      </c>
      <c r="S79" s="53">
        <f t="shared" si="49"/>
        <v>74</v>
      </c>
      <c r="T79" s="53">
        <f t="shared" si="49"/>
        <v>75</v>
      </c>
      <c r="U79" s="53">
        <f t="shared" si="49"/>
        <v>76</v>
      </c>
      <c r="V79" s="53">
        <f t="shared" si="49"/>
        <v>77</v>
      </c>
      <c r="W79" s="53">
        <f>V79+1</f>
        <v>78</v>
      </c>
      <c r="X79" s="53">
        <f t="shared" si="49"/>
        <v>79</v>
      </c>
      <c r="Y79" s="53">
        <f t="shared" si="49"/>
        <v>80</v>
      </c>
      <c r="Z79" s="53">
        <f t="shared" si="49"/>
        <v>81</v>
      </c>
      <c r="AA79" s="53">
        <f>Z79+1</f>
        <v>82</v>
      </c>
      <c r="AB79" s="53">
        <f>AA79+1</f>
        <v>83</v>
      </c>
      <c r="AC79" s="53">
        <f>AB79+1</f>
        <v>84</v>
      </c>
      <c r="AD79" s="53">
        <f>AC79+1</f>
        <v>85</v>
      </c>
    </row>
    <row r="80" spans="9:61" x14ac:dyDescent="0.2">
      <c r="J80" s="53" t="s">
        <v>61</v>
      </c>
      <c r="K80" s="4">
        <f>K78</f>
        <v>119409.06711370991</v>
      </c>
      <c r="L80" s="4">
        <f>K80*(1+K82)</f>
        <v>122991.33912712122</v>
      </c>
      <c r="M80" s="4">
        <f t="shared" ref="M80:Z80" si="50">L80*(1+L82)</f>
        <v>126681.07930093486</v>
      </c>
      <c r="N80" s="4">
        <f t="shared" si="50"/>
        <v>130481.5116799629</v>
      </c>
      <c r="O80" s="4">
        <f t="shared" si="50"/>
        <v>134395.95703036178</v>
      </c>
      <c r="P80" s="4">
        <f t="shared" si="50"/>
        <v>138427.83574127263</v>
      </c>
      <c r="Q80" s="4">
        <f t="shared" si="50"/>
        <v>142580.67081351081</v>
      </c>
      <c r="R80" s="4">
        <f t="shared" si="50"/>
        <v>146858.09093791613</v>
      </c>
      <c r="S80" s="4">
        <f t="shared" si="50"/>
        <v>151263.83366605363</v>
      </c>
      <c r="T80" s="4">
        <f t="shared" si="50"/>
        <v>155801.74867603523</v>
      </c>
      <c r="U80" s="4">
        <f t="shared" si="50"/>
        <v>160475.8011363163</v>
      </c>
      <c r="V80" s="4">
        <f t="shared" si="50"/>
        <v>165290.07517040579</v>
      </c>
      <c r="W80" s="4">
        <f t="shared" si="50"/>
        <v>170248.77742551797</v>
      </c>
      <c r="X80" s="4">
        <f t="shared" si="50"/>
        <v>175356.24074828351</v>
      </c>
      <c r="Y80" s="4">
        <f t="shared" si="50"/>
        <v>180616.92797073201</v>
      </c>
      <c r="Z80" s="4">
        <f t="shared" si="50"/>
        <v>186035.43580985398</v>
      </c>
      <c r="AA80" s="4">
        <f>Z80*(1+Z82)</f>
        <v>191616.49888414959</v>
      </c>
      <c r="AB80" s="4">
        <f>AA80*(1+AA82)</f>
        <v>197364.99385067407</v>
      </c>
      <c r="AC80" s="4">
        <f>AB80*(1+AB82)</f>
        <v>203285.9436661943</v>
      </c>
      <c r="AD80" s="4">
        <f>AC80*(1+AC82)</f>
        <v>209384.52197618014</v>
      </c>
    </row>
    <row r="81" spans="10:30" x14ac:dyDescent="0.2">
      <c r="J81" s="53" t="s">
        <v>62</v>
      </c>
      <c r="K81" s="4">
        <f>K75</f>
        <v>12236415.769338634</v>
      </c>
      <c r="L81" s="4">
        <f>K83</f>
        <v>11155821.647989538</v>
      </c>
      <c r="M81" s="4">
        <f t="shared" ref="M81:Z81" si="51">L83</f>
        <v>9998776.9299195465</v>
      </c>
      <c r="N81" s="4">
        <f t="shared" si="51"/>
        <v>8761648.7982982397</v>
      </c>
      <c r="O81" s="4">
        <f t="shared" si="51"/>
        <v>7440654.7157317651</v>
      </c>
      <c r="P81" s="4">
        <f t="shared" si="51"/>
        <v>6031856.6936197486</v>
      </c>
      <c r="Q81" s="4">
        <f t="shared" si="51"/>
        <v>4531155.3519067196</v>
      </c>
      <c r="R81" s="4">
        <f t="shared" si="51"/>
        <v>2934283.7617936675</v>
      </c>
      <c r="S81" s="4">
        <f t="shared" si="51"/>
        <v>1236801.0637173818</v>
      </c>
      <c r="T81" s="4">
        <f t="shared" si="51"/>
        <v>-565914.14736142568</v>
      </c>
      <c r="U81" s="4">
        <f t="shared" si="51"/>
        <v>-2478670.6775960317</v>
      </c>
      <c r="V81" s="4">
        <f t="shared" si="51"/>
        <v>-4506471.8393376339</v>
      </c>
      <c r="W81" s="4">
        <f t="shared" si="51"/>
        <v>-6654522.8144801995</v>
      </c>
      <c r="X81" s="4">
        <f t="shared" si="51"/>
        <v>-8928238.2851860784</v>
      </c>
      <c r="Y81" s="4">
        <f t="shared" si="51"/>
        <v>-11333250.34142754</v>
      </c>
      <c r="Z81" s="4">
        <f t="shared" si="51"/>
        <v>-13875416.67510548</v>
      </c>
      <c r="AA81" s="4">
        <f>Z83</f>
        <v>-16560829.070843628</v>
      </c>
      <c r="AB81" s="4">
        <f>AA83</f>
        <v>-19395822.203905277</v>
      </c>
      <c r="AC81" s="4">
        <f>AB83</f>
        <v>-22386982.756039947</v>
      </c>
      <c r="AD81" s="4">
        <f>AC83</f>
        <v>-25541158.860440087</v>
      </c>
    </row>
    <row r="82" spans="10:30" x14ac:dyDescent="0.2">
      <c r="J82" s="53" t="s">
        <v>41</v>
      </c>
      <c r="K82" s="72">
        <f>G10</f>
        <v>0.03</v>
      </c>
      <c r="L82" s="72">
        <f>K82</f>
        <v>0.03</v>
      </c>
      <c r="M82" s="72">
        <f t="shared" ref="M82:Z82" si="52">L82</f>
        <v>0.03</v>
      </c>
      <c r="N82" s="72">
        <f t="shared" si="52"/>
        <v>0.03</v>
      </c>
      <c r="O82" s="72">
        <f t="shared" si="52"/>
        <v>0.03</v>
      </c>
      <c r="P82" s="72">
        <f t="shared" si="52"/>
        <v>0.03</v>
      </c>
      <c r="Q82" s="72">
        <f t="shared" si="52"/>
        <v>0.03</v>
      </c>
      <c r="R82" s="72">
        <f t="shared" si="52"/>
        <v>0.03</v>
      </c>
      <c r="S82" s="72">
        <f t="shared" si="52"/>
        <v>0.03</v>
      </c>
      <c r="T82" s="72">
        <f t="shared" si="52"/>
        <v>0.03</v>
      </c>
      <c r="U82" s="72">
        <f t="shared" si="52"/>
        <v>0.03</v>
      </c>
      <c r="V82" s="72">
        <f t="shared" si="52"/>
        <v>0.03</v>
      </c>
      <c r="W82" s="72">
        <f t="shared" si="52"/>
        <v>0.03</v>
      </c>
      <c r="X82" s="72">
        <f t="shared" si="52"/>
        <v>0.03</v>
      </c>
      <c r="Y82" s="72">
        <f t="shared" si="52"/>
        <v>0.03</v>
      </c>
      <c r="Z82" s="72">
        <f t="shared" si="52"/>
        <v>0.03</v>
      </c>
      <c r="AA82" s="72">
        <f>Z82</f>
        <v>0.03</v>
      </c>
      <c r="AB82" s="72">
        <f>AA82</f>
        <v>0.03</v>
      </c>
      <c r="AC82" s="72">
        <f>AB82</f>
        <v>0.03</v>
      </c>
      <c r="AD82" s="72">
        <f>AC82</f>
        <v>0.03</v>
      </c>
    </row>
    <row r="83" spans="10:30" x14ac:dyDescent="0.2">
      <c r="J83" s="53" t="s">
        <v>40</v>
      </c>
      <c r="K83" s="4">
        <f>FV(K82/12,12,K80,-K81)</f>
        <v>11155821.647989538</v>
      </c>
      <c r="L83" s="4">
        <f>FV(L82/12,12,L80,-L81)</f>
        <v>9998776.9299195465</v>
      </c>
      <c r="M83" s="4">
        <f t="shared" ref="M83:Z83" si="53">FV(M82/12,12,M80,-M81)</f>
        <v>8761648.7982982397</v>
      </c>
      <c r="N83" s="4">
        <f t="shared" si="53"/>
        <v>7440654.7157317651</v>
      </c>
      <c r="O83" s="4">
        <f t="shared" si="53"/>
        <v>6031856.6936197486</v>
      </c>
      <c r="P83" s="4">
        <f t="shared" si="53"/>
        <v>4531155.3519067196</v>
      </c>
      <c r="Q83" s="4">
        <f t="shared" si="53"/>
        <v>2934283.7617936675</v>
      </c>
      <c r="R83" s="4">
        <f t="shared" si="53"/>
        <v>1236801.0637173818</v>
      </c>
      <c r="S83" s="4">
        <f t="shared" si="53"/>
        <v>-565914.14736142568</v>
      </c>
      <c r="T83" s="4">
        <f t="shared" si="53"/>
        <v>-2478670.6775960317</v>
      </c>
      <c r="U83" s="4">
        <f t="shared" si="53"/>
        <v>-4506471.8393376339</v>
      </c>
      <c r="V83" s="4">
        <f t="shared" si="53"/>
        <v>-6654522.8144801995</v>
      </c>
      <c r="W83" s="4">
        <f t="shared" si="53"/>
        <v>-8928238.2851860784</v>
      </c>
      <c r="X83" s="4">
        <f t="shared" si="53"/>
        <v>-11333250.34142754</v>
      </c>
      <c r="Y83" s="4">
        <f t="shared" si="53"/>
        <v>-13875416.67510548</v>
      </c>
      <c r="Z83" s="4">
        <f t="shared" si="53"/>
        <v>-16560829.070843628</v>
      </c>
      <c r="AA83" s="4">
        <f>FV(AA82/12,12,AA80,-AA81)</f>
        <v>-19395822.203905277</v>
      </c>
      <c r="AB83" s="4">
        <f>FV(AB82/12,12,AB80,-AB81)</f>
        <v>-22386982.756039947</v>
      </c>
      <c r="AC83" s="4">
        <f>FV(AC82/12,12,AC80,-AC81)</f>
        <v>-25541158.860440087</v>
      </c>
      <c r="AD83" s="4">
        <f>FV(AD82/12,12,AD80,-AD81)</f>
        <v>-28865469.887373343</v>
      </c>
    </row>
    <row r="84" spans="10:30" x14ac:dyDescent="0.2">
      <c r="K84" s="53">
        <f>K79</f>
        <v>66</v>
      </c>
      <c r="L84" s="53">
        <f t="shared" ref="L84:AD84" si="54">L79</f>
        <v>67</v>
      </c>
      <c r="M84" s="53">
        <f t="shared" si="54"/>
        <v>68</v>
      </c>
      <c r="N84" s="53">
        <f t="shared" si="54"/>
        <v>69</v>
      </c>
      <c r="O84" s="53">
        <f t="shared" si="54"/>
        <v>70</v>
      </c>
      <c r="P84" s="53">
        <f t="shared" si="54"/>
        <v>71</v>
      </c>
      <c r="Q84" s="53">
        <f t="shared" si="54"/>
        <v>72</v>
      </c>
      <c r="R84" s="53">
        <f t="shared" si="54"/>
        <v>73</v>
      </c>
      <c r="S84" s="53">
        <f t="shared" si="54"/>
        <v>74</v>
      </c>
      <c r="T84" s="53">
        <f t="shared" si="54"/>
        <v>75</v>
      </c>
      <c r="U84" s="53">
        <f t="shared" si="54"/>
        <v>76</v>
      </c>
      <c r="V84" s="53">
        <f t="shared" si="54"/>
        <v>77</v>
      </c>
      <c r="W84" s="53">
        <f t="shared" si="54"/>
        <v>78</v>
      </c>
      <c r="X84" s="53">
        <f t="shared" si="54"/>
        <v>79</v>
      </c>
      <c r="Y84" s="53">
        <f t="shared" si="54"/>
        <v>80</v>
      </c>
      <c r="Z84" s="53">
        <f t="shared" si="54"/>
        <v>81</v>
      </c>
      <c r="AA84" s="53">
        <f t="shared" si="54"/>
        <v>82</v>
      </c>
      <c r="AB84" s="53">
        <f t="shared" si="54"/>
        <v>83</v>
      </c>
      <c r="AC84" s="53">
        <f t="shared" si="54"/>
        <v>84</v>
      </c>
      <c r="AD84" s="53">
        <f t="shared" si="54"/>
        <v>85</v>
      </c>
    </row>
    <row r="85" spans="10:30" x14ac:dyDescent="0.2">
      <c r="J85" s="53" t="s">
        <v>63</v>
      </c>
      <c r="K85" s="79">
        <f>IF(K83&gt;0,K83,0)</f>
        <v>11155821.647989538</v>
      </c>
      <c r="L85" s="79">
        <f t="shared" ref="L85:AD85" si="55">IF(L83&gt;0,L83,0)</f>
        <v>9998776.9299195465</v>
      </c>
      <c r="M85" s="79">
        <f t="shared" si="55"/>
        <v>8761648.7982982397</v>
      </c>
      <c r="N85" s="79">
        <f t="shared" si="55"/>
        <v>7440654.7157317651</v>
      </c>
      <c r="O85" s="79">
        <f t="shared" si="55"/>
        <v>6031856.6936197486</v>
      </c>
      <c r="P85" s="79">
        <f t="shared" si="55"/>
        <v>4531155.3519067196</v>
      </c>
      <c r="Q85" s="79">
        <f t="shared" si="55"/>
        <v>2934283.7617936675</v>
      </c>
      <c r="R85" s="79">
        <f t="shared" si="55"/>
        <v>1236801.0637173818</v>
      </c>
      <c r="S85" s="79">
        <f t="shared" si="55"/>
        <v>0</v>
      </c>
      <c r="T85" s="79">
        <f t="shared" si="55"/>
        <v>0</v>
      </c>
      <c r="U85" s="79">
        <f t="shared" si="55"/>
        <v>0</v>
      </c>
      <c r="V85" s="79">
        <f t="shared" si="55"/>
        <v>0</v>
      </c>
      <c r="W85" s="79">
        <f t="shared" si="55"/>
        <v>0</v>
      </c>
      <c r="X85" s="79">
        <f t="shared" si="55"/>
        <v>0</v>
      </c>
      <c r="Y85" s="79">
        <f t="shared" si="55"/>
        <v>0</v>
      </c>
      <c r="Z85" s="79">
        <f t="shared" si="55"/>
        <v>0</v>
      </c>
      <c r="AA85" s="79">
        <f t="shared" si="55"/>
        <v>0</v>
      </c>
      <c r="AB85" s="79">
        <f t="shared" si="55"/>
        <v>0</v>
      </c>
      <c r="AC85" s="79">
        <f t="shared" si="55"/>
        <v>0</v>
      </c>
      <c r="AD85" s="79">
        <f t="shared" si="55"/>
        <v>0</v>
      </c>
    </row>
    <row r="86" spans="10:30" x14ac:dyDescent="0.2">
      <c r="J86" s="53" t="s">
        <v>64</v>
      </c>
      <c r="K86" s="79">
        <f>IF(K83&gt;0,K80*12,0)</f>
        <v>1432908.8053645189</v>
      </c>
      <c r="L86" s="79">
        <f t="shared" ref="L86:AD86" si="56">IF(L83&gt;0,L80*12,0)</f>
        <v>1475896.0695254547</v>
      </c>
      <c r="M86" s="79">
        <f t="shared" si="56"/>
        <v>1520172.9516112183</v>
      </c>
      <c r="N86" s="79">
        <f t="shared" si="56"/>
        <v>1565778.1401595548</v>
      </c>
      <c r="O86" s="79">
        <f t="shared" si="56"/>
        <v>1612751.4843643415</v>
      </c>
      <c r="P86" s="79">
        <f t="shared" si="56"/>
        <v>1661134.0288952715</v>
      </c>
      <c r="Q86" s="79">
        <f t="shared" si="56"/>
        <v>1710968.0497621298</v>
      </c>
      <c r="R86" s="79">
        <f t="shared" si="56"/>
        <v>1762297.0912549936</v>
      </c>
      <c r="S86" s="79">
        <f t="shared" si="56"/>
        <v>0</v>
      </c>
      <c r="T86" s="79">
        <f t="shared" si="56"/>
        <v>0</v>
      </c>
      <c r="U86" s="79">
        <f t="shared" si="56"/>
        <v>0</v>
      </c>
      <c r="V86" s="79">
        <f t="shared" si="56"/>
        <v>0</v>
      </c>
      <c r="W86" s="79">
        <f t="shared" si="56"/>
        <v>0</v>
      </c>
      <c r="X86" s="79">
        <f t="shared" si="56"/>
        <v>0</v>
      </c>
      <c r="Y86" s="79">
        <f t="shared" si="56"/>
        <v>0</v>
      </c>
      <c r="Z86" s="79">
        <f t="shared" si="56"/>
        <v>0</v>
      </c>
      <c r="AA86" s="79">
        <f t="shared" si="56"/>
        <v>0</v>
      </c>
      <c r="AB86" s="79">
        <f t="shared" si="56"/>
        <v>0</v>
      </c>
      <c r="AC86" s="79">
        <f t="shared" si="56"/>
        <v>0</v>
      </c>
      <c r="AD86" s="79">
        <f t="shared" si="56"/>
        <v>0</v>
      </c>
    </row>
    <row r="88" spans="10:30" x14ac:dyDescent="0.2">
      <c r="J88" s="9">
        <f>SUM(K88:AD88)</f>
        <v>8</v>
      </c>
      <c r="K88" s="53">
        <f>IF(K85&gt;0,1,0)</f>
        <v>1</v>
      </c>
      <c r="L88" s="53">
        <f t="shared" ref="L88:AD88" si="57">IF(L85&gt;0,1,0)</f>
        <v>1</v>
      </c>
      <c r="M88" s="53">
        <f t="shared" si="57"/>
        <v>1</v>
      </c>
      <c r="N88" s="53">
        <f t="shared" si="57"/>
        <v>1</v>
      </c>
      <c r="O88" s="53">
        <f t="shared" si="57"/>
        <v>1</v>
      </c>
      <c r="P88" s="53">
        <f t="shared" si="57"/>
        <v>1</v>
      </c>
      <c r="Q88" s="53">
        <f t="shared" si="57"/>
        <v>1</v>
      </c>
      <c r="R88" s="53">
        <f t="shared" si="57"/>
        <v>1</v>
      </c>
      <c r="S88" s="53">
        <f t="shared" si="57"/>
        <v>0</v>
      </c>
      <c r="T88" s="53">
        <f t="shared" si="57"/>
        <v>0</v>
      </c>
      <c r="U88" s="53">
        <f t="shared" si="57"/>
        <v>0</v>
      </c>
      <c r="V88" s="53">
        <f t="shared" si="57"/>
        <v>0</v>
      </c>
      <c r="W88" s="53">
        <f t="shared" si="57"/>
        <v>0</v>
      </c>
      <c r="X88" s="53">
        <f t="shared" si="57"/>
        <v>0</v>
      </c>
      <c r="Y88" s="53">
        <f t="shared" si="57"/>
        <v>0</v>
      </c>
      <c r="Z88" s="53">
        <f t="shared" si="57"/>
        <v>0</v>
      </c>
      <c r="AA88" s="53">
        <f t="shared" si="57"/>
        <v>0</v>
      </c>
      <c r="AB88" s="53">
        <f t="shared" si="57"/>
        <v>0</v>
      </c>
      <c r="AC88" s="53">
        <f t="shared" si="57"/>
        <v>0</v>
      </c>
      <c r="AD88" s="53">
        <f t="shared" si="57"/>
        <v>0</v>
      </c>
    </row>
    <row r="116" spans="10:30" x14ac:dyDescent="0.2">
      <c r="K116" s="53">
        <v>66</v>
      </c>
      <c r="L116" s="53">
        <f t="shared" ref="L116:AD116" si="58">K116+1</f>
        <v>67</v>
      </c>
      <c r="M116" s="53">
        <f t="shared" si="58"/>
        <v>68</v>
      </c>
      <c r="N116" s="53">
        <f t="shared" si="58"/>
        <v>69</v>
      </c>
      <c r="O116" s="53">
        <f t="shared" si="58"/>
        <v>70</v>
      </c>
      <c r="P116" s="53">
        <f t="shared" si="58"/>
        <v>71</v>
      </c>
      <c r="Q116" s="53">
        <f t="shared" si="58"/>
        <v>72</v>
      </c>
      <c r="R116" s="53">
        <f t="shared" si="58"/>
        <v>73</v>
      </c>
      <c r="S116" s="53">
        <f t="shared" si="58"/>
        <v>74</v>
      </c>
      <c r="T116" s="53">
        <f t="shared" si="58"/>
        <v>75</v>
      </c>
      <c r="U116" s="53">
        <f t="shared" si="58"/>
        <v>76</v>
      </c>
      <c r="V116" s="53">
        <f t="shared" si="58"/>
        <v>77</v>
      </c>
      <c r="W116" s="53">
        <f t="shared" si="58"/>
        <v>78</v>
      </c>
      <c r="X116" s="53">
        <f t="shared" si="58"/>
        <v>79</v>
      </c>
      <c r="Y116" s="53">
        <f t="shared" si="58"/>
        <v>80</v>
      </c>
      <c r="Z116" s="53">
        <f t="shared" si="58"/>
        <v>81</v>
      </c>
      <c r="AA116" s="53">
        <f t="shared" si="58"/>
        <v>82</v>
      </c>
      <c r="AB116" s="53">
        <f t="shared" si="58"/>
        <v>83</v>
      </c>
      <c r="AC116" s="53">
        <f t="shared" si="58"/>
        <v>84</v>
      </c>
      <c r="AD116" s="53">
        <f t="shared" si="58"/>
        <v>85</v>
      </c>
    </row>
    <row r="117" spans="10:30" x14ac:dyDescent="0.2">
      <c r="J117" s="53" t="s">
        <v>61</v>
      </c>
      <c r="K117" s="4">
        <f>Data8!C22</f>
        <v>40000</v>
      </c>
      <c r="L117" s="4">
        <f t="shared" ref="L117:AD117" si="59">K117*(1+K119)</f>
        <v>42000</v>
      </c>
      <c r="M117" s="4">
        <f t="shared" si="59"/>
        <v>44100</v>
      </c>
      <c r="N117" s="4">
        <f t="shared" si="59"/>
        <v>46305</v>
      </c>
      <c r="O117" s="4">
        <f t="shared" si="59"/>
        <v>48620.25</v>
      </c>
      <c r="P117" s="4">
        <f t="shared" si="59"/>
        <v>51051.262500000004</v>
      </c>
      <c r="Q117" s="4">
        <f t="shared" si="59"/>
        <v>53603.825625000005</v>
      </c>
      <c r="R117" s="4">
        <f t="shared" si="59"/>
        <v>56284.016906250006</v>
      </c>
      <c r="S117" s="4">
        <f t="shared" si="59"/>
        <v>59098.217751562508</v>
      </c>
      <c r="T117" s="4">
        <f t="shared" si="59"/>
        <v>62053.128639140639</v>
      </c>
      <c r="U117" s="4">
        <f t="shared" si="59"/>
        <v>65155.785071097671</v>
      </c>
      <c r="V117" s="4">
        <f t="shared" si="59"/>
        <v>68413.574324652553</v>
      </c>
      <c r="W117" s="4">
        <f t="shared" si="59"/>
        <v>71834.253040885189</v>
      </c>
      <c r="X117" s="4">
        <f t="shared" si="59"/>
        <v>75425.965692929458</v>
      </c>
      <c r="Y117" s="4">
        <f t="shared" si="59"/>
        <v>79197.263977575931</v>
      </c>
      <c r="Z117" s="4">
        <f t="shared" si="59"/>
        <v>83157.127176454727</v>
      </c>
      <c r="AA117" s="4">
        <f t="shared" si="59"/>
        <v>87314.983535277468</v>
      </c>
      <c r="AB117" s="4">
        <f t="shared" si="59"/>
        <v>91680.732712041339</v>
      </c>
      <c r="AC117" s="4">
        <f t="shared" si="59"/>
        <v>96264.769347643407</v>
      </c>
      <c r="AD117" s="4">
        <f t="shared" si="59"/>
        <v>101078.00781502559</v>
      </c>
    </row>
    <row r="118" spans="10:30" x14ac:dyDescent="0.2">
      <c r="J118" s="53" t="s">
        <v>62</v>
      </c>
      <c r="K118" s="4" t="e">
        <f>#REF!</f>
        <v>#REF!</v>
      </c>
      <c r="L118" s="4" t="e">
        <f t="shared" ref="L118:AD118" si="60">K120</f>
        <v>#REF!</v>
      </c>
      <c r="M118" s="4" t="e">
        <f t="shared" si="60"/>
        <v>#REF!</v>
      </c>
      <c r="N118" s="4" t="e">
        <f t="shared" si="60"/>
        <v>#REF!</v>
      </c>
      <c r="O118" s="4" t="e">
        <f t="shared" si="60"/>
        <v>#REF!</v>
      </c>
      <c r="P118" s="4" t="e">
        <f t="shared" si="60"/>
        <v>#REF!</v>
      </c>
      <c r="Q118" s="4" t="e">
        <f t="shared" si="60"/>
        <v>#REF!</v>
      </c>
      <c r="R118" s="4" t="e">
        <f t="shared" si="60"/>
        <v>#REF!</v>
      </c>
      <c r="S118" s="4" t="e">
        <f t="shared" si="60"/>
        <v>#REF!</v>
      </c>
      <c r="T118" s="4" t="e">
        <f t="shared" si="60"/>
        <v>#REF!</v>
      </c>
      <c r="U118" s="4" t="e">
        <f t="shared" si="60"/>
        <v>#REF!</v>
      </c>
      <c r="V118" s="4" t="e">
        <f t="shared" si="60"/>
        <v>#REF!</v>
      </c>
      <c r="W118" s="4" t="e">
        <f t="shared" si="60"/>
        <v>#REF!</v>
      </c>
      <c r="X118" s="4" t="e">
        <f t="shared" si="60"/>
        <v>#REF!</v>
      </c>
      <c r="Y118" s="4" t="e">
        <f t="shared" si="60"/>
        <v>#REF!</v>
      </c>
      <c r="Z118" s="4" t="e">
        <f t="shared" si="60"/>
        <v>#REF!</v>
      </c>
      <c r="AA118" s="4" t="e">
        <f t="shared" si="60"/>
        <v>#REF!</v>
      </c>
      <c r="AB118" s="4" t="e">
        <f t="shared" si="60"/>
        <v>#REF!</v>
      </c>
      <c r="AC118" s="4" t="e">
        <f t="shared" si="60"/>
        <v>#REF!</v>
      </c>
      <c r="AD118" s="4" t="e">
        <f t="shared" si="60"/>
        <v>#REF!</v>
      </c>
    </row>
    <row r="119" spans="10:30" x14ac:dyDescent="0.2">
      <c r="J119" s="53" t="s">
        <v>41</v>
      </c>
      <c r="K119" s="72">
        <v>0.05</v>
      </c>
      <c r="L119" s="72">
        <f t="shared" ref="L119:AD119" si="61">K119</f>
        <v>0.05</v>
      </c>
      <c r="M119" s="72">
        <f t="shared" si="61"/>
        <v>0.05</v>
      </c>
      <c r="N119" s="72">
        <f t="shared" si="61"/>
        <v>0.05</v>
      </c>
      <c r="O119" s="72">
        <f t="shared" si="61"/>
        <v>0.05</v>
      </c>
      <c r="P119" s="72">
        <f t="shared" si="61"/>
        <v>0.05</v>
      </c>
      <c r="Q119" s="72">
        <f t="shared" si="61"/>
        <v>0.05</v>
      </c>
      <c r="R119" s="72">
        <f t="shared" si="61"/>
        <v>0.05</v>
      </c>
      <c r="S119" s="72">
        <f t="shared" si="61"/>
        <v>0.05</v>
      </c>
      <c r="T119" s="72">
        <f t="shared" si="61"/>
        <v>0.05</v>
      </c>
      <c r="U119" s="72">
        <f t="shared" si="61"/>
        <v>0.05</v>
      </c>
      <c r="V119" s="72">
        <f t="shared" si="61"/>
        <v>0.05</v>
      </c>
      <c r="W119" s="72">
        <f t="shared" si="61"/>
        <v>0.05</v>
      </c>
      <c r="X119" s="72">
        <f t="shared" si="61"/>
        <v>0.05</v>
      </c>
      <c r="Y119" s="72">
        <f t="shared" si="61"/>
        <v>0.05</v>
      </c>
      <c r="Z119" s="72">
        <f t="shared" si="61"/>
        <v>0.05</v>
      </c>
      <c r="AA119" s="72">
        <f t="shared" si="61"/>
        <v>0.05</v>
      </c>
      <c r="AB119" s="72">
        <f t="shared" si="61"/>
        <v>0.05</v>
      </c>
      <c r="AC119" s="72">
        <f t="shared" si="61"/>
        <v>0.05</v>
      </c>
      <c r="AD119" s="72">
        <f t="shared" si="61"/>
        <v>0.05</v>
      </c>
    </row>
    <row r="120" spans="10:30" x14ac:dyDescent="0.2">
      <c r="J120" s="53" t="s">
        <v>40</v>
      </c>
      <c r="K120" s="4" t="e">
        <f>FV(K119/12,12,K117,-K118)</f>
        <v>#REF!</v>
      </c>
      <c r="L120" s="4" t="e">
        <f>FV(L119/12,12,L117,-L118)</f>
        <v>#REF!</v>
      </c>
      <c r="M120" s="4" t="e">
        <f t="shared" ref="M120:Z120" si="62">FV(M119/12,12,M117,-M118)</f>
        <v>#REF!</v>
      </c>
      <c r="N120" s="4" t="e">
        <f t="shared" si="62"/>
        <v>#REF!</v>
      </c>
      <c r="O120" s="4" t="e">
        <f t="shared" si="62"/>
        <v>#REF!</v>
      </c>
      <c r="P120" s="4" t="e">
        <f t="shared" si="62"/>
        <v>#REF!</v>
      </c>
      <c r="Q120" s="4" t="e">
        <f t="shared" si="62"/>
        <v>#REF!</v>
      </c>
      <c r="R120" s="4" t="e">
        <f t="shared" si="62"/>
        <v>#REF!</v>
      </c>
      <c r="S120" s="4" t="e">
        <f t="shared" si="62"/>
        <v>#REF!</v>
      </c>
      <c r="T120" s="4" t="e">
        <f t="shared" si="62"/>
        <v>#REF!</v>
      </c>
      <c r="U120" s="4" t="e">
        <f t="shared" si="62"/>
        <v>#REF!</v>
      </c>
      <c r="V120" s="4" t="e">
        <f t="shared" si="62"/>
        <v>#REF!</v>
      </c>
      <c r="W120" s="4" t="e">
        <f t="shared" si="62"/>
        <v>#REF!</v>
      </c>
      <c r="X120" s="4" t="e">
        <f t="shared" si="62"/>
        <v>#REF!</v>
      </c>
      <c r="Y120" s="4" t="e">
        <f t="shared" si="62"/>
        <v>#REF!</v>
      </c>
      <c r="Z120" s="4" t="e">
        <f t="shared" si="62"/>
        <v>#REF!</v>
      </c>
      <c r="AA120" s="4" t="e">
        <f>FV(AA119/12,12,AA117,-AA118)</f>
        <v>#REF!</v>
      </c>
      <c r="AB120" s="4" t="e">
        <f>FV(AB119/12,12,AB117,-AB118)</f>
        <v>#REF!</v>
      </c>
      <c r="AC120" s="4" t="e">
        <f>FV(AC119/12,12,AC117,-AC118)</f>
        <v>#REF!</v>
      </c>
      <c r="AD120" s="4" t="e">
        <f>FV(AD119/12,12,AD117,-AD118)</f>
        <v>#REF!</v>
      </c>
    </row>
    <row r="121" spans="10:30" x14ac:dyDescent="0.2">
      <c r="K121" s="53">
        <f>K116</f>
        <v>66</v>
      </c>
      <c r="L121" s="53">
        <f t="shared" ref="L121:AD121" si="63">L116</f>
        <v>67</v>
      </c>
      <c r="M121" s="53">
        <f t="shared" si="63"/>
        <v>68</v>
      </c>
      <c r="N121" s="53">
        <f t="shared" si="63"/>
        <v>69</v>
      </c>
      <c r="O121" s="53">
        <f t="shared" si="63"/>
        <v>70</v>
      </c>
      <c r="P121" s="53">
        <f t="shared" si="63"/>
        <v>71</v>
      </c>
      <c r="Q121" s="53">
        <f t="shared" si="63"/>
        <v>72</v>
      </c>
      <c r="R121" s="53">
        <f t="shared" si="63"/>
        <v>73</v>
      </c>
      <c r="S121" s="53">
        <f t="shared" si="63"/>
        <v>74</v>
      </c>
      <c r="T121" s="53">
        <f t="shared" si="63"/>
        <v>75</v>
      </c>
      <c r="U121" s="53">
        <f t="shared" si="63"/>
        <v>76</v>
      </c>
      <c r="V121" s="53">
        <f t="shared" si="63"/>
        <v>77</v>
      </c>
      <c r="W121" s="53">
        <f t="shared" si="63"/>
        <v>78</v>
      </c>
      <c r="X121" s="53">
        <f t="shared" si="63"/>
        <v>79</v>
      </c>
      <c r="Y121" s="53">
        <f t="shared" si="63"/>
        <v>80</v>
      </c>
      <c r="Z121" s="53">
        <f t="shared" si="63"/>
        <v>81</v>
      </c>
      <c r="AA121" s="53">
        <f t="shared" si="63"/>
        <v>82</v>
      </c>
      <c r="AB121" s="53">
        <f t="shared" si="63"/>
        <v>83</v>
      </c>
      <c r="AC121" s="53">
        <f t="shared" si="63"/>
        <v>84</v>
      </c>
      <c r="AD121" s="53">
        <f t="shared" si="63"/>
        <v>85</v>
      </c>
    </row>
    <row r="122" spans="10:30" x14ac:dyDescent="0.2">
      <c r="J122" s="53" t="s">
        <v>63</v>
      </c>
      <c r="K122" s="79" t="e">
        <f>IF(K120&gt;0,K120,0)</f>
        <v>#REF!</v>
      </c>
      <c r="L122" s="79" t="e">
        <f t="shared" ref="L122:AD122" si="64">IF(L120&gt;0,L120,0)</f>
        <v>#REF!</v>
      </c>
      <c r="M122" s="79" t="e">
        <f t="shared" si="64"/>
        <v>#REF!</v>
      </c>
      <c r="N122" s="79" t="e">
        <f t="shared" si="64"/>
        <v>#REF!</v>
      </c>
      <c r="O122" s="79" t="e">
        <f t="shared" si="64"/>
        <v>#REF!</v>
      </c>
      <c r="P122" s="79" t="e">
        <f t="shared" si="64"/>
        <v>#REF!</v>
      </c>
      <c r="Q122" s="79" t="e">
        <f t="shared" si="64"/>
        <v>#REF!</v>
      </c>
      <c r="R122" s="79" t="e">
        <f t="shared" si="64"/>
        <v>#REF!</v>
      </c>
      <c r="S122" s="79" t="e">
        <f t="shared" si="64"/>
        <v>#REF!</v>
      </c>
      <c r="T122" s="79" t="e">
        <f t="shared" si="64"/>
        <v>#REF!</v>
      </c>
      <c r="U122" s="79" t="e">
        <f t="shared" si="64"/>
        <v>#REF!</v>
      </c>
      <c r="V122" s="79" t="e">
        <f t="shared" si="64"/>
        <v>#REF!</v>
      </c>
      <c r="W122" s="79" t="e">
        <f t="shared" si="64"/>
        <v>#REF!</v>
      </c>
      <c r="X122" s="79" t="e">
        <f t="shared" si="64"/>
        <v>#REF!</v>
      </c>
      <c r="Y122" s="79" t="e">
        <f t="shared" si="64"/>
        <v>#REF!</v>
      </c>
      <c r="Z122" s="79" t="e">
        <f t="shared" si="64"/>
        <v>#REF!</v>
      </c>
      <c r="AA122" s="79" t="e">
        <f t="shared" si="64"/>
        <v>#REF!</v>
      </c>
      <c r="AB122" s="79" t="e">
        <f t="shared" si="64"/>
        <v>#REF!</v>
      </c>
      <c r="AC122" s="79" t="e">
        <f t="shared" si="64"/>
        <v>#REF!</v>
      </c>
      <c r="AD122" s="79" t="e">
        <f t="shared" si="64"/>
        <v>#REF!</v>
      </c>
    </row>
    <row r="123" spans="10:30" x14ac:dyDescent="0.2">
      <c r="J123" s="53" t="s">
        <v>64</v>
      </c>
      <c r="K123" s="79" t="e">
        <f>IF(K120&gt;0,K117*12,0)</f>
        <v>#REF!</v>
      </c>
      <c r="L123" s="79" t="e">
        <f t="shared" ref="L123:AD123" si="65">IF(L120&gt;0,L117*12,0)</f>
        <v>#REF!</v>
      </c>
      <c r="M123" s="79" t="e">
        <f t="shared" si="65"/>
        <v>#REF!</v>
      </c>
      <c r="N123" s="79" t="e">
        <f t="shared" si="65"/>
        <v>#REF!</v>
      </c>
      <c r="O123" s="79" t="e">
        <f t="shared" si="65"/>
        <v>#REF!</v>
      </c>
      <c r="P123" s="79" t="e">
        <f t="shared" si="65"/>
        <v>#REF!</v>
      </c>
      <c r="Q123" s="79" t="e">
        <f t="shared" si="65"/>
        <v>#REF!</v>
      </c>
      <c r="R123" s="79" t="e">
        <f t="shared" si="65"/>
        <v>#REF!</v>
      </c>
      <c r="S123" s="79" t="e">
        <f t="shared" si="65"/>
        <v>#REF!</v>
      </c>
      <c r="T123" s="79" t="e">
        <f t="shared" si="65"/>
        <v>#REF!</v>
      </c>
      <c r="U123" s="79" t="e">
        <f t="shared" si="65"/>
        <v>#REF!</v>
      </c>
      <c r="V123" s="79" t="e">
        <f t="shared" si="65"/>
        <v>#REF!</v>
      </c>
      <c r="W123" s="79" t="e">
        <f t="shared" si="65"/>
        <v>#REF!</v>
      </c>
      <c r="X123" s="79" t="e">
        <f t="shared" si="65"/>
        <v>#REF!</v>
      </c>
      <c r="Y123" s="79" t="e">
        <f t="shared" si="65"/>
        <v>#REF!</v>
      </c>
      <c r="Z123" s="79" t="e">
        <f t="shared" si="65"/>
        <v>#REF!</v>
      </c>
      <c r="AA123" s="79" t="e">
        <f t="shared" si="65"/>
        <v>#REF!</v>
      </c>
      <c r="AB123" s="79" t="e">
        <f t="shared" si="65"/>
        <v>#REF!</v>
      </c>
      <c r="AC123" s="79" t="e">
        <f t="shared" si="65"/>
        <v>#REF!</v>
      </c>
      <c r="AD123" s="79" t="e">
        <f t="shared" si="65"/>
        <v>#REF!</v>
      </c>
    </row>
    <row r="125" spans="10:30" x14ac:dyDescent="0.2">
      <c r="K125" s="57" t="e">
        <f>(K118/3)*1.1</f>
        <v>#REF!</v>
      </c>
      <c r="L125" s="57" t="e">
        <f>K125*1.1</f>
        <v>#REF!</v>
      </c>
      <c r="M125" s="57" t="e">
        <f t="shared" ref="M125:AD125" si="66">L125*1.1</f>
        <v>#REF!</v>
      </c>
      <c r="N125" s="57" t="e">
        <f t="shared" si="66"/>
        <v>#REF!</v>
      </c>
      <c r="O125" s="57" t="e">
        <f t="shared" si="66"/>
        <v>#REF!</v>
      </c>
      <c r="P125" s="57" t="e">
        <f t="shared" si="66"/>
        <v>#REF!</v>
      </c>
      <c r="Q125" s="57" t="e">
        <f t="shared" si="66"/>
        <v>#REF!</v>
      </c>
      <c r="R125" s="57" t="e">
        <f t="shared" si="66"/>
        <v>#REF!</v>
      </c>
      <c r="S125" s="57" t="e">
        <f t="shared" si="66"/>
        <v>#REF!</v>
      </c>
      <c r="T125" s="57" t="e">
        <f t="shared" si="66"/>
        <v>#REF!</v>
      </c>
      <c r="U125" s="57" t="e">
        <f t="shared" si="66"/>
        <v>#REF!</v>
      </c>
      <c r="V125" s="57" t="e">
        <f t="shared" si="66"/>
        <v>#REF!</v>
      </c>
      <c r="W125" s="57" t="e">
        <f t="shared" si="66"/>
        <v>#REF!</v>
      </c>
      <c r="X125" s="57" t="e">
        <f t="shared" si="66"/>
        <v>#REF!</v>
      </c>
      <c r="Y125" s="57" t="e">
        <f t="shared" si="66"/>
        <v>#REF!</v>
      </c>
      <c r="Z125" s="57" t="e">
        <f t="shared" si="66"/>
        <v>#REF!</v>
      </c>
      <c r="AA125" s="57" t="e">
        <f t="shared" si="66"/>
        <v>#REF!</v>
      </c>
      <c r="AB125" s="57" t="e">
        <f t="shared" si="66"/>
        <v>#REF!</v>
      </c>
      <c r="AC125" s="57" t="e">
        <f t="shared" si="66"/>
        <v>#REF!</v>
      </c>
      <c r="AD125" s="57" t="e">
        <f t="shared" si="66"/>
        <v>#REF!</v>
      </c>
    </row>
    <row r="127" spans="10:30" x14ac:dyDescent="0.2">
      <c r="K127" s="53">
        <v>66</v>
      </c>
      <c r="L127" s="53">
        <f t="shared" ref="L127:AD127" si="67">K127+1</f>
        <v>67</v>
      </c>
      <c r="M127" s="53">
        <f t="shared" si="67"/>
        <v>68</v>
      </c>
      <c r="N127" s="53">
        <f t="shared" si="67"/>
        <v>69</v>
      </c>
      <c r="O127" s="53">
        <f t="shared" si="67"/>
        <v>70</v>
      </c>
      <c r="P127" s="53">
        <f t="shared" si="67"/>
        <v>71</v>
      </c>
      <c r="Q127" s="53">
        <f t="shared" si="67"/>
        <v>72</v>
      </c>
      <c r="R127" s="53">
        <f t="shared" si="67"/>
        <v>73</v>
      </c>
      <c r="S127" s="53">
        <f t="shared" si="67"/>
        <v>74</v>
      </c>
      <c r="T127" s="53">
        <f t="shared" si="67"/>
        <v>75</v>
      </c>
      <c r="U127" s="53">
        <f t="shared" si="67"/>
        <v>76</v>
      </c>
      <c r="V127" s="53">
        <f t="shared" si="67"/>
        <v>77</v>
      </c>
      <c r="W127" s="53">
        <f t="shared" si="67"/>
        <v>78</v>
      </c>
      <c r="X127" s="53">
        <f t="shared" si="67"/>
        <v>79</v>
      </c>
      <c r="Y127" s="53">
        <f t="shared" si="67"/>
        <v>80</v>
      </c>
      <c r="Z127" s="53">
        <f t="shared" si="67"/>
        <v>81</v>
      </c>
      <c r="AA127" s="53">
        <f t="shared" si="67"/>
        <v>82</v>
      </c>
      <c r="AB127" s="53">
        <f t="shared" si="67"/>
        <v>83</v>
      </c>
      <c r="AC127" s="53">
        <f t="shared" si="67"/>
        <v>84</v>
      </c>
      <c r="AD127" s="53">
        <f t="shared" si="67"/>
        <v>85</v>
      </c>
    </row>
    <row r="128" spans="10:30" x14ac:dyDescent="0.2">
      <c r="J128" s="53" t="s">
        <v>61</v>
      </c>
      <c r="K128" s="4">
        <f>K117</f>
        <v>40000</v>
      </c>
      <c r="L128" s="4">
        <f t="shared" ref="L128:AD128" si="68">K128*(1+K130)</f>
        <v>42000</v>
      </c>
      <c r="M128" s="4">
        <f t="shared" si="68"/>
        <v>44100</v>
      </c>
      <c r="N128" s="4">
        <f t="shared" si="68"/>
        <v>46305</v>
      </c>
      <c r="O128" s="4">
        <f t="shared" si="68"/>
        <v>48620.25</v>
      </c>
      <c r="P128" s="4">
        <f t="shared" si="68"/>
        <v>51051.262500000004</v>
      </c>
      <c r="Q128" s="4">
        <f t="shared" si="68"/>
        <v>53603.825625000005</v>
      </c>
      <c r="R128" s="4">
        <f t="shared" si="68"/>
        <v>56284.016906250006</v>
      </c>
      <c r="S128" s="4">
        <f t="shared" si="68"/>
        <v>59098.217751562508</v>
      </c>
      <c r="T128" s="4">
        <f t="shared" si="68"/>
        <v>62053.128639140639</v>
      </c>
      <c r="U128" s="4">
        <f t="shared" si="68"/>
        <v>65155.785071097671</v>
      </c>
      <c r="V128" s="4">
        <f t="shared" si="68"/>
        <v>68413.574324652553</v>
      </c>
      <c r="W128" s="4">
        <f t="shared" si="68"/>
        <v>71834.253040885189</v>
      </c>
      <c r="X128" s="4">
        <f t="shared" si="68"/>
        <v>75425.965692929458</v>
      </c>
      <c r="Y128" s="4">
        <f t="shared" si="68"/>
        <v>79197.263977575931</v>
      </c>
      <c r="Z128" s="4">
        <f t="shared" si="68"/>
        <v>83157.127176454727</v>
      </c>
      <c r="AA128" s="4">
        <f t="shared" si="68"/>
        <v>87314.983535277468</v>
      </c>
      <c r="AB128" s="4">
        <f t="shared" si="68"/>
        <v>91680.732712041339</v>
      </c>
      <c r="AC128" s="4">
        <f t="shared" si="68"/>
        <v>96264.769347643407</v>
      </c>
      <c r="AD128" s="4">
        <f t="shared" si="68"/>
        <v>101078.00781502559</v>
      </c>
    </row>
    <row r="129" spans="9:30" x14ac:dyDescent="0.2">
      <c r="J129" s="53" t="s">
        <v>62</v>
      </c>
      <c r="K129" s="4" t="e">
        <f>K118-(K118/3)</f>
        <v>#REF!</v>
      </c>
      <c r="L129" s="4" t="e">
        <f t="shared" ref="L129:AD129" si="69">K131</f>
        <v>#REF!</v>
      </c>
      <c r="M129" s="4" t="e">
        <f t="shared" si="69"/>
        <v>#REF!</v>
      </c>
      <c r="N129" s="4" t="e">
        <f t="shared" si="69"/>
        <v>#REF!</v>
      </c>
      <c r="O129" s="4" t="e">
        <f t="shared" si="69"/>
        <v>#REF!</v>
      </c>
      <c r="P129" s="4" t="e">
        <f t="shared" si="69"/>
        <v>#REF!</v>
      </c>
      <c r="Q129" s="4" t="e">
        <f t="shared" si="69"/>
        <v>#REF!</v>
      </c>
      <c r="R129" s="4" t="e">
        <f t="shared" si="69"/>
        <v>#REF!</v>
      </c>
      <c r="S129" s="4" t="e">
        <f t="shared" si="69"/>
        <v>#REF!</v>
      </c>
      <c r="T129" s="4" t="e">
        <f t="shared" si="69"/>
        <v>#REF!</v>
      </c>
      <c r="U129" s="4" t="e">
        <f t="shared" si="69"/>
        <v>#REF!</v>
      </c>
      <c r="V129" s="4" t="e">
        <f t="shared" si="69"/>
        <v>#REF!</v>
      </c>
      <c r="W129" s="4" t="e">
        <f t="shared" si="69"/>
        <v>#REF!</v>
      </c>
      <c r="X129" s="4" t="e">
        <f t="shared" si="69"/>
        <v>#REF!</v>
      </c>
      <c r="Y129" s="4" t="e">
        <f t="shared" si="69"/>
        <v>#REF!</v>
      </c>
      <c r="Z129" s="4" t="e">
        <f t="shared" si="69"/>
        <v>#REF!</v>
      </c>
      <c r="AA129" s="4" t="e">
        <f t="shared" si="69"/>
        <v>#REF!</v>
      </c>
      <c r="AB129" s="4" t="e">
        <f t="shared" si="69"/>
        <v>#REF!</v>
      </c>
      <c r="AC129" s="4" t="e">
        <f t="shared" si="69"/>
        <v>#REF!</v>
      </c>
      <c r="AD129" s="4" t="e">
        <f t="shared" si="69"/>
        <v>#REF!</v>
      </c>
    </row>
    <row r="130" spans="9:30" x14ac:dyDescent="0.2">
      <c r="J130" s="53" t="s">
        <v>41</v>
      </c>
      <c r="K130" s="72">
        <v>0.05</v>
      </c>
      <c r="L130" s="72">
        <f t="shared" ref="L130:AD130" si="70">K130</f>
        <v>0.05</v>
      </c>
      <c r="M130" s="72">
        <f t="shared" si="70"/>
        <v>0.05</v>
      </c>
      <c r="N130" s="72">
        <f t="shared" si="70"/>
        <v>0.05</v>
      </c>
      <c r="O130" s="72">
        <f t="shared" si="70"/>
        <v>0.05</v>
      </c>
      <c r="P130" s="72">
        <f t="shared" si="70"/>
        <v>0.05</v>
      </c>
      <c r="Q130" s="72">
        <f t="shared" si="70"/>
        <v>0.05</v>
      </c>
      <c r="R130" s="72">
        <f t="shared" si="70"/>
        <v>0.05</v>
      </c>
      <c r="S130" s="72">
        <f t="shared" si="70"/>
        <v>0.05</v>
      </c>
      <c r="T130" s="72">
        <f t="shared" si="70"/>
        <v>0.05</v>
      </c>
      <c r="U130" s="72">
        <f t="shared" si="70"/>
        <v>0.05</v>
      </c>
      <c r="V130" s="72">
        <f t="shared" si="70"/>
        <v>0.05</v>
      </c>
      <c r="W130" s="72">
        <f t="shared" si="70"/>
        <v>0.05</v>
      </c>
      <c r="X130" s="72">
        <f t="shared" si="70"/>
        <v>0.05</v>
      </c>
      <c r="Y130" s="72">
        <f t="shared" si="70"/>
        <v>0.05</v>
      </c>
      <c r="Z130" s="72">
        <f t="shared" si="70"/>
        <v>0.05</v>
      </c>
      <c r="AA130" s="72">
        <f t="shared" si="70"/>
        <v>0.05</v>
      </c>
      <c r="AB130" s="72">
        <f t="shared" si="70"/>
        <v>0.05</v>
      </c>
      <c r="AC130" s="72">
        <f t="shared" si="70"/>
        <v>0.05</v>
      </c>
      <c r="AD130" s="72">
        <f t="shared" si="70"/>
        <v>0.05</v>
      </c>
    </row>
    <row r="131" spans="9:30" x14ac:dyDescent="0.2">
      <c r="J131" s="53" t="s">
        <v>40</v>
      </c>
      <c r="K131" s="4" t="e">
        <f>FV(K130/12,12,K128,-K129)</f>
        <v>#REF!</v>
      </c>
      <c r="L131" s="4" t="e">
        <f>FV(L130/12,12,L128,-L129)</f>
        <v>#REF!</v>
      </c>
      <c r="M131" s="4" t="e">
        <f t="shared" ref="M131:Z131" si="71">FV(M130/12,12,M128,-M129)</f>
        <v>#REF!</v>
      </c>
      <c r="N131" s="4" t="e">
        <f t="shared" si="71"/>
        <v>#REF!</v>
      </c>
      <c r="O131" s="4" t="e">
        <f t="shared" si="71"/>
        <v>#REF!</v>
      </c>
      <c r="P131" s="4" t="e">
        <f t="shared" si="71"/>
        <v>#REF!</v>
      </c>
      <c r="Q131" s="4" t="e">
        <f t="shared" si="71"/>
        <v>#REF!</v>
      </c>
      <c r="R131" s="4" t="e">
        <f t="shared" si="71"/>
        <v>#REF!</v>
      </c>
      <c r="S131" s="4" t="e">
        <f t="shared" si="71"/>
        <v>#REF!</v>
      </c>
      <c r="T131" s="4" t="e">
        <f t="shared" si="71"/>
        <v>#REF!</v>
      </c>
      <c r="U131" s="4" t="e">
        <f t="shared" si="71"/>
        <v>#REF!</v>
      </c>
      <c r="V131" s="4" t="e">
        <f t="shared" si="71"/>
        <v>#REF!</v>
      </c>
      <c r="W131" s="4" t="e">
        <f t="shared" si="71"/>
        <v>#REF!</v>
      </c>
      <c r="X131" s="4" t="e">
        <f t="shared" si="71"/>
        <v>#REF!</v>
      </c>
      <c r="Y131" s="4" t="e">
        <f t="shared" si="71"/>
        <v>#REF!</v>
      </c>
      <c r="Z131" s="4" t="e">
        <f t="shared" si="71"/>
        <v>#REF!</v>
      </c>
      <c r="AA131" s="4" t="e">
        <f>FV(AA130/12,12,AA128,-AA129)</f>
        <v>#REF!</v>
      </c>
      <c r="AB131" s="4" t="e">
        <f>FV(AB130/12,12,AB128,-AB129)</f>
        <v>#REF!</v>
      </c>
      <c r="AC131" s="4" t="e">
        <f>FV(AC130/12,12,AC128,-AC129)</f>
        <v>#REF!</v>
      </c>
      <c r="AD131" s="4" t="e">
        <f>FV(AD130/12,12,AD128,-AD129)</f>
        <v>#REF!</v>
      </c>
    </row>
    <row r="132" spans="9:30" x14ac:dyDescent="0.2">
      <c r="K132" s="53">
        <f>K127</f>
        <v>66</v>
      </c>
      <c r="L132" s="53">
        <f t="shared" ref="L132:AD132" si="72">L127</f>
        <v>67</v>
      </c>
      <c r="M132" s="53">
        <f t="shared" si="72"/>
        <v>68</v>
      </c>
      <c r="N132" s="53">
        <f t="shared" si="72"/>
        <v>69</v>
      </c>
      <c r="O132" s="53">
        <f t="shared" si="72"/>
        <v>70</v>
      </c>
      <c r="P132" s="53">
        <f t="shared" si="72"/>
        <v>71</v>
      </c>
      <c r="Q132" s="53">
        <f t="shared" si="72"/>
        <v>72</v>
      </c>
      <c r="R132" s="53">
        <f t="shared" si="72"/>
        <v>73</v>
      </c>
      <c r="S132" s="53">
        <f t="shared" si="72"/>
        <v>74</v>
      </c>
      <c r="T132" s="53">
        <f t="shared" si="72"/>
        <v>75</v>
      </c>
      <c r="U132" s="53">
        <f t="shared" si="72"/>
        <v>76</v>
      </c>
      <c r="V132" s="53">
        <f t="shared" si="72"/>
        <v>77</v>
      </c>
      <c r="W132" s="53">
        <f t="shared" si="72"/>
        <v>78</v>
      </c>
      <c r="X132" s="53">
        <f t="shared" si="72"/>
        <v>79</v>
      </c>
      <c r="Y132" s="53">
        <f t="shared" si="72"/>
        <v>80</v>
      </c>
      <c r="Z132" s="53">
        <f t="shared" si="72"/>
        <v>81</v>
      </c>
      <c r="AA132" s="53">
        <f t="shared" si="72"/>
        <v>82</v>
      </c>
      <c r="AB132" s="53">
        <f t="shared" si="72"/>
        <v>83</v>
      </c>
      <c r="AC132" s="53">
        <f t="shared" si="72"/>
        <v>84</v>
      </c>
      <c r="AD132" s="53">
        <f t="shared" si="72"/>
        <v>85</v>
      </c>
    </row>
    <row r="133" spans="9:30" x14ac:dyDescent="0.2">
      <c r="J133" s="53" t="s">
        <v>63</v>
      </c>
      <c r="K133" s="79" t="e">
        <f>IF(K131&gt;0,K131,0)</f>
        <v>#REF!</v>
      </c>
      <c r="L133" s="79" t="e">
        <f t="shared" ref="L133:AD133" si="73">IF(L131&gt;0,L131,0)</f>
        <v>#REF!</v>
      </c>
      <c r="M133" s="79" t="e">
        <f t="shared" si="73"/>
        <v>#REF!</v>
      </c>
      <c r="N133" s="79" t="e">
        <f t="shared" si="73"/>
        <v>#REF!</v>
      </c>
      <c r="O133" s="79" t="e">
        <f t="shared" si="73"/>
        <v>#REF!</v>
      </c>
      <c r="P133" s="79" t="e">
        <f t="shared" si="73"/>
        <v>#REF!</v>
      </c>
      <c r="Q133" s="79" t="e">
        <f t="shared" si="73"/>
        <v>#REF!</v>
      </c>
      <c r="R133" s="79" t="e">
        <f t="shared" si="73"/>
        <v>#REF!</v>
      </c>
      <c r="S133" s="79" t="e">
        <f t="shared" si="73"/>
        <v>#REF!</v>
      </c>
      <c r="T133" s="79" t="e">
        <f t="shared" si="73"/>
        <v>#REF!</v>
      </c>
      <c r="U133" s="79" t="e">
        <f t="shared" si="73"/>
        <v>#REF!</v>
      </c>
      <c r="V133" s="79" t="e">
        <f t="shared" si="73"/>
        <v>#REF!</v>
      </c>
      <c r="W133" s="79" t="e">
        <f t="shared" si="73"/>
        <v>#REF!</v>
      </c>
      <c r="X133" s="79" t="e">
        <f t="shared" si="73"/>
        <v>#REF!</v>
      </c>
      <c r="Y133" s="79" t="e">
        <f t="shared" si="73"/>
        <v>#REF!</v>
      </c>
      <c r="Z133" s="79" t="e">
        <f t="shared" si="73"/>
        <v>#REF!</v>
      </c>
      <c r="AA133" s="79" t="e">
        <f t="shared" si="73"/>
        <v>#REF!</v>
      </c>
      <c r="AB133" s="79" t="e">
        <f t="shared" si="73"/>
        <v>#REF!</v>
      </c>
      <c r="AC133" s="79" t="e">
        <f t="shared" si="73"/>
        <v>#REF!</v>
      </c>
      <c r="AD133" s="79" t="e">
        <f t="shared" si="73"/>
        <v>#REF!</v>
      </c>
    </row>
    <row r="134" spans="9:30" x14ac:dyDescent="0.2">
      <c r="J134" s="53" t="s">
        <v>64</v>
      </c>
      <c r="K134" s="79" t="e">
        <f>IF(K131&gt;0,K128*12,0)</f>
        <v>#REF!</v>
      </c>
      <c r="L134" s="79" t="e">
        <f t="shared" ref="L134:AD134" si="74">IF(L131&gt;0,L128*12,0)</f>
        <v>#REF!</v>
      </c>
      <c r="M134" s="79" t="e">
        <f t="shared" si="74"/>
        <v>#REF!</v>
      </c>
      <c r="N134" s="79" t="e">
        <f t="shared" si="74"/>
        <v>#REF!</v>
      </c>
      <c r="O134" s="79" t="e">
        <f t="shared" si="74"/>
        <v>#REF!</v>
      </c>
      <c r="P134" s="79" t="e">
        <f t="shared" si="74"/>
        <v>#REF!</v>
      </c>
      <c r="Q134" s="79" t="e">
        <f t="shared" si="74"/>
        <v>#REF!</v>
      </c>
      <c r="R134" s="79" t="e">
        <f t="shared" si="74"/>
        <v>#REF!</v>
      </c>
      <c r="S134" s="79" t="e">
        <f t="shared" si="74"/>
        <v>#REF!</v>
      </c>
      <c r="T134" s="79" t="e">
        <f t="shared" si="74"/>
        <v>#REF!</v>
      </c>
      <c r="U134" s="79" t="e">
        <f t="shared" si="74"/>
        <v>#REF!</v>
      </c>
      <c r="V134" s="79" t="e">
        <f t="shared" si="74"/>
        <v>#REF!</v>
      </c>
      <c r="W134" s="79" t="e">
        <f t="shared" si="74"/>
        <v>#REF!</v>
      </c>
      <c r="X134" s="79" t="e">
        <f t="shared" si="74"/>
        <v>#REF!</v>
      </c>
      <c r="Y134" s="79" t="e">
        <f t="shared" si="74"/>
        <v>#REF!</v>
      </c>
      <c r="Z134" s="79" t="e">
        <f t="shared" si="74"/>
        <v>#REF!</v>
      </c>
      <c r="AA134" s="79" t="e">
        <f t="shared" si="74"/>
        <v>#REF!</v>
      </c>
      <c r="AB134" s="79" t="e">
        <f t="shared" si="74"/>
        <v>#REF!</v>
      </c>
      <c r="AC134" s="79" t="e">
        <f t="shared" si="74"/>
        <v>#REF!</v>
      </c>
      <c r="AD134" s="79" t="e">
        <f t="shared" si="74"/>
        <v>#REF!</v>
      </c>
    </row>
    <row r="136" spans="9:30" x14ac:dyDescent="0.2">
      <c r="I136" s="53">
        <f>COUNTIF(K133:AD133,0)</f>
        <v>0</v>
      </c>
      <c r="J136" s="4" t="e">
        <f>SMALL(K136:AD136,21-I136)</f>
        <v>#REF!</v>
      </c>
      <c r="K136" s="64" t="e">
        <f>IF(K133=0,K125,0)</f>
        <v>#REF!</v>
      </c>
      <c r="L136" s="64" t="e">
        <f t="shared" ref="L136:AD136" si="75">IF(L133=0,L125,0)</f>
        <v>#REF!</v>
      </c>
      <c r="M136" s="64" t="e">
        <f t="shared" si="75"/>
        <v>#REF!</v>
      </c>
      <c r="N136" s="64" t="e">
        <f t="shared" si="75"/>
        <v>#REF!</v>
      </c>
      <c r="O136" s="64" t="e">
        <f t="shared" si="75"/>
        <v>#REF!</v>
      </c>
      <c r="P136" s="64" t="e">
        <f t="shared" si="75"/>
        <v>#REF!</v>
      </c>
      <c r="Q136" s="64" t="e">
        <f t="shared" si="75"/>
        <v>#REF!</v>
      </c>
      <c r="R136" s="64" t="e">
        <f>IF(R133=0,R125,0)</f>
        <v>#REF!</v>
      </c>
      <c r="S136" s="64" t="e">
        <f t="shared" si="75"/>
        <v>#REF!</v>
      </c>
      <c r="T136" s="64" t="e">
        <f t="shared" si="75"/>
        <v>#REF!</v>
      </c>
      <c r="U136" s="64" t="e">
        <f t="shared" si="75"/>
        <v>#REF!</v>
      </c>
      <c r="V136" s="64" t="e">
        <f t="shared" si="75"/>
        <v>#REF!</v>
      </c>
      <c r="W136" s="64" t="e">
        <f t="shared" si="75"/>
        <v>#REF!</v>
      </c>
      <c r="X136" s="64" t="e">
        <f t="shared" si="75"/>
        <v>#REF!</v>
      </c>
      <c r="Y136" s="64" t="e">
        <f t="shared" si="75"/>
        <v>#REF!</v>
      </c>
      <c r="Z136" s="64" t="e">
        <f t="shared" si="75"/>
        <v>#REF!</v>
      </c>
      <c r="AA136" s="64" t="e">
        <f t="shared" si="75"/>
        <v>#REF!</v>
      </c>
      <c r="AB136" s="64" t="e">
        <f t="shared" si="75"/>
        <v>#REF!</v>
      </c>
      <c r="AC136" s="64" t="e">
        <f t="shared" si="75"/>
        <v>#REF!</v>
      </c>
      <c r="AD136" s="64" t="e">
        <f t="shared" si="75"/>
        <v>#REF!</v>
      </c>
    </row>
    <row r="138" spans="9:30" s="87" customFormat="1" x14ac:dyDescent="0.2">
      <c r="K138" s="73" t="e">
        <f>IF(K136=$J$136,$J$136,FV(K119/12,12,K117,-J138))</f>
        <v>#REF!</v>
      </c>
      <c r="L138" s="73" t="e">
        <f>IF(L136=$J$136,$J$136,FV(L119/12,12,L117,-K138))</f>
        <v>#REF!</v>
      </c>
      <c r="M138" s="73" t="e">
        <f t="shared" ref="M138:R138" si="76">IF(M136=$J$136,$J$136,FV(M119/12,12,M117,-L138))</f>
        <v>#REF!</v>
      </c>
      <c r="N138" s="73" t="e">
        <f t="shared" si="76"/>
        <v>#REF!</v>
      </c>
      <c r="O138" s="73" t="e">
        <f t="shared" si="76"/>
        <v>#REF!</v>
      </c>
      <c r="P138" s="73" t="e">
        <f t="shared" si="76"/>
        <v>#REF!</v>
      </c>
      <c r="Q138" s="73" t="e">
        <f t="shared" si="76"/>
        <v>#REF!</v>
      </c>
      <c r="R138" s="73" t="e">
        <f t="shared" si="76"/>
        <v>#REF!</v>
      </c>
      <c r="S138" s="73" t="e">
        <f>IF(S136=$J$136,$J$136,FV(S119/12,12,S117,-R138))</f>
        <v>#REF!</v>
      </c>
      <c r="T138" s="73" t="e">
        <f t="shared" ref="T138:AD138" si="77">IF(T136=$J$136,$J$136,FV(T119/12,12,T117,-S138))</f>
        <v>#REF!</v>
      </c>
      <c r="U138" s="73" t="e">
        <f t="shared" si="77"/>
        <v>#REF!</v>
      </c>
      <c r="V138" s="73" t="e">
        <f t="shared" si="77"/>
        <v>#REF!</v>
      </c>
      <c r="W138" s="73" t="e">
        <f t="shared" si="77"/>
        <v>#REF!</v>
      </c>
      <c r="X138" s="73" t="e">
        <f t="shared" si="77"/>
        <v>#REF!</v>
      </c>
      <c r="Y138" s="73" t="e">
        <f t="shared" si="77"/>
        <v>#REF!</v>
      </c>
      <c r="Z138" s="73" t="e">
        <f t="shared" si="77"/>
        <v>#REF!</v>
      </c>
      <c r="AA138" s="73" t="e">
        <f t="shared" si="77"/>
        <v>#REF!</v>
      </c>
      <c r="AB138" s="73" t="e">
        <f t="shared" si="77"/>
        <v>#REF!</v>
      </c>
      <c r="AC138" s="73" t="e">
        <f t="shared" si="77"/>
        <v>#REF!</v>
      </c>
      <c r="AD138" s="73" t="e">
        <f t="shared" si="77"/>
        <v>#REF!</v>
      </c>
    </row>
    <row r="139" spans="9:30" x14ac:dyDescent="0.2">
      <c r="K139" s="58" t="e">
        <f>IF(K138&gt;0,K138,0)</f>
        <v>#REF!</v>
      </c>
      <c r="L139" s="58" t="e">
        <f t="shared" ref="L139:AD139" si="78">IF(L138&gt;0,L138,0)</f>
        <v>#REF!</v>
      </c>
      <c r="M139" s="58" t="e">
        <f t="shared" si="78"/>
        <v>#REF!</v>
      </c>
      <c r="N139" s="58" t="e">
        <f t="shared" si="78"/>
        <v>#REF!</v>
      </c>
      <c r="O139" s="58" t="e">
        <f t="shared" si="78"/>
        <v>#REF!</v>
      </c>
      <c r="P139" s="58" t="e">
        <f t="shared" si="78"/>
        <v>#REF!</v>
      </c>
      <c r="Q139" s="58" t="e">
        <f t="shared" si="78"/>
        <v>#REF!</v>
      </c>
      <c r="R139" s="58" t="e">
        <f t="shared" si="78"/>
        <v>#REF!</v>
      </c>
      <c r="S139" s="58" t="e">
        <f t="shared" si="78"/>
        <v>#REF!</v>
      </c>
      <c r="T139" s="58" t="e">
        <f t="shared" si="78"/>
        <v>#REF!</v>
      </c>
      <c r="U139" s="58" t="e">
        <f t="shared" si="78"/>
        <v>#REF!</v>
      </c>
      <c r="V139" s="58" t="e">
        <f t="shared" si="78"/>
        <v>#REF!</v>
      </c>
      <c r="W139" s="58" t="e">
        <f t="shared" si="78"/>
        <v>#REF!</v>
      </c>
      <c r="X139" s="58" t="e">
        <f t="shared" si="78"/>
        <v>#REF!</v>
      </c>
      <c r="Y139" s="58" t="e">
        <f t="shared" si="78"/>
        <v>#REF!</v>
      </c>
      <c r="Z139" s="58" t="e">
        <f t="shared" si="78"/>
        <v>#REF!</v>
      </c>
      <c r="AA139" s="58" t="e">
        <f t="shared" si="78"/>
        <v>#REF!</v>
      </c>
      <c r="AB139" s="58" t="e">
        <f t="shared" si="78"/>
        <v>#REF!</v>
      </c>
      <c r="AC139" s="58" t="e">
        <f t="shared" si="78"/>
        <v>#REF!</v>
      </c>
      <c r="AD139" s="58" t="e">
        <f t="shared" si="78"/>
        <v>#REF!</v>
      </c>
    </row>
    <row r="140" spans="9:30" x14ac:dyDescent="0.2">
      <c r="K140" s="88" t="e">
        <f>FV(K119/12,12,K117,-K138)</f>
        <v>#REF!</v>
      </c>
      <c r="L140" s="88" t="e">
        <f t="shared" ref="L140:AD140" si="79">FV(L119/12,12,L117,-L138)</f>
        <v>#REF!</v>
      </c>
      <c r="M140" s="88" t="e">
        <f t="shared" si="79"/>
        <v>#REF!</v>
      </c>
      <c r="N140" s="88" t="e">
        <f t="shared" si="79"/>
        <v>#REF!</v>
      </c>
      <c r="O140" s="88" t="e">
        <f t="shared" si="79"/>
        <v>#REF!</v>
      </c>
      <c r="P140" s="88" t="e">
        <f t="shared" si="79"/>
        <v>#REF!</v>
      </c>
      <c r="Q140" s="88" t="e">
        <f t="shared" si="79"/>
        <v>#REF!</v>
      </c>
      <c r="R140" s="88" t="e">
        <f t="shared" si="79"/>
        <v>#REF!</v>
      </c>
      <c r="S140" s="88" t="e">
        <f>FV(S119/12,12,S117,-S138)</f>
        <v>#REF!</v>
      </c>
      <c r="T140" s="88" t="e">
        <f t="shared" si="79"/>
        <v>#REF!</v>
      </c>
      <c r="U140" s="88" t="e">
        <f t="shared" si="79"/>
        <v>#REF!</v>
      </c>
      <c r="V140" s="88" t="e">
        <f t="shared" si="79"/>
        <v>#REF!</v>
      </c>
      <c r="W140" s="88" t="e">
        <f t="shared" si="79"/>
        <v>#REF!</v>
      </c>
      <c r="X140" s="88" t="e">
        <f t="shared" si="79"/>
        <v>#REF!</v>
      </c>
      <c r="Y140" s="88" t="e">
        <f t="shared" si="79"/>
        <v>#REF!</v>
      </c>
      <c r="Z140" s="88" t="e">
        <f t="shared" si="79"/>
        <v>#REF!</v>
      </c>
      <c r="AA140" s="88" t="e">
        <f t="shared" si="79"/>
        <v>#REF!</v>
      </c>
      <c r="AB140" s="88" t="e">
        <f t="shared" si="79"/>
        <v>#REF!</v>
      </c>
      <c r="AC140" s="88" t="e">
        <f t="shared" si="79"/>
        <v>#REF!</v>
      </c>
      <c r="AD140" s="88" t="e">
        <f t="shared" si="79"/>
        <v>#REF!</v>
      </c>
    </row>
    <row r="142" spans="9:30" x14ac:dyDescent="0.2">
      <c r="K142" s="57" t="e">
        <f>K133</f>
        <v>#REF!</v>
      </c>
      <c r="L142" s="57" t="e">
        <f t="shared" ref="L142:AD142" si="80">L133</f>
        <v>#REF!</v>
      </c>
      <c r="M142" s="57" t="e">
        <f t="shared" si="80"/>
        <v>#REF!</v>
      </c>
      <c r="N142" s="57" t="e">
        <f t="shared" si="80"/>
        <v>#REF!</v>
      </c>
      <c r="O142" s="57" t="e">
        <f t="shared" si="80"/>
        <v>#REF!</v>
      </c>
      <c r="P142" s="57" t="e">
        <f t="shared" si="80"/>
        <v>#REF!</v>
      </c>
      <c r="Q142" s="57" t="e">
        <f t="shared" si="80"/>
        <v>#REF!</v>
      </c>
      <c r="R142" s="57" t="e">
        <f t="shared" si="80"/>
        <v>#REF!</v>
      </c>
      <c r="S142" s="57" t="e">
        <f t="shared" si="80"/>
        <v>#REF!</v>
      </c>
      <c r="T142" s="57" t="e">
        <f t="shared" si="80"/>
        <v>#REF!</v>
      </c>
      <c r="U142" s="57" t="e">
        <f t="shared" si="80"/>
        <v>#REF!</v>
      </c>
      <c r="V142" s="57" t="e">
        <f t="shared" si="80"/>
        <v>#REF!</v>
      </c>
      <c r="W142" s="57" t="e">
        <f t="shared" si="80"/>
        <v>#REF!</v>
      </c>
      <c r="X142" s="57" t="e">
        <f t="shared" si="80"/>
        <v>#REF!</v>
      </c>
      <c r="Y142" s="57" t="e">
        <f t="shared" si="80"/>
        <v>#REF!</v>
      </c>
      <c r="Z142" s="57" t="e">
        <f t="shared" si="80"/>
        <v>#REF!</v>
      </c>
      <c r="AA142" s="57" t="e">
        <f t="shared" si="80"/>
        <v>#REF!</v>
      </c>
      <c r="AB142" s="57" t="e">
        <f t="shared" si="80"/>
        <v>#REF!</v>
      </c>
      <c r="AC142" s="57" t="e">
        <f t="shared" si="80"/>
        <v>#REF!</v>
      </c>
      <c r="AD142" s="57" t="e">
        <f t="shared" si="80"/>
        <v>#REF!</v>
      </c>
    </row>
    <row r="143" spans="9:30" x14ac:dyDescent="0.2">
      <c r="K143" s="79" t="e">
        <f>K138</f>
        <v>#REF!</v>
      </c>
      <c r="L143" s="79" t="e">
        <f t="shared" ref="L143:AD143" si="81">L138</f>
        <v>#REF!</v>
      </c>
      <c r="M143" s="79" t="e">
        <f t="shared" si="81"/>
        <v>#REF!</v>
      </c>
      <c r="N143" s="79" t="e">
        <f t="shared" si="81"/>
        <v>#REF!</v>
      </c>
      <c r="O143" s="79" t="e">
        <f t="shared" si="81"/>
        <v>#REF!</v>
      </c>
      <c r="P143" s="79" t="e">
        <f t="shared" si="81"/>
        <v>#REF!</v>
      </c>
      <c r="Q143" s="79" t="e">
        <f t="shared" si="81"/>
        <v>#REF!</v>
      </c>
      <c r="R143" s="79" t="e">
        <f t="shared" si="81"/>
        <v>#REF!</v>
      </c>
      <c r="S143" s="79" t="e">
        <f t="shared" si="81"/>
        <v>#REF!</v>
      </c>
      <c r="T143" s="79" t="e">
        <f t="shared" si="81"/>
        <v>#REF!</v>
      </c>
      <c r="U143" s="79" t="e">
        <f t="shared" si="81"/>
        <v>#REF!</v>
      </c>
      <c r="V143" s="79" t="e">
        <f t="shared" si="81"/>
        <v>#REF!</v>
      </c>
      <c r="W143" s="79" t="e">
        <f t="shared" si="81"/>
        <v>#REF!</v>
      </c>
      <c r="X143" s="79" t="e">
        <f t="shared" si="81"/>
        <v>#REF!</v>
      </c>
      <c r="Y143" s="79" t="e">
        <f t="shared" si="81"/>
        <v>#REF!</v>
      </c>
      <c r="Z143" s="79" t="e">
        <f t="shared" si="81"/>
        <v>#REF!</v>
      </c>
      <c r="AA143" s="79" t="e">
        <f t="shared" si="81"/>
        <v>#REF!</v>
      </c>
      <c r="AB143" s="79" t="e">
        <f t="shared" si="81"/>
        <v>#REF!</v>
      </c>
      <c r="AC143" s="79" t="e">
        <f t="shared" si="81"/>
        <v>#REF!</v>
      </c>
      <c r="AD143" s="79" t="e">
        <f t="shared" si="81"/>
        <v>#REF!</v>
      </c>
    </row>
    <row r="145" spans="10:30" x14ac:dyDescent="0.2">
      <c r="K145" s="79" t="e">
        <f t="shared" ref="K145:AD145" si="82">LARGE(K142:K143,1)</f>
        <v>#REF!</v>
      </c>
      <c r="L145" s="79" t="e">
        <f t="shared" si="82"/>
        <v>#REF!</v>
      </c>
      <c r="M145" s="79" t="e">
        <f t="shared" si="82"/>
        <v>#REF!</v>
      </c>
      <c r="N145" s="79" t="e">
        <f t="shared" si="82"/>
        <v>#REF!</v>
      </c>
      <c r="O145" s="79" t="e">
        <f t="shared" si="82"/>
        <v>#REF!</v>
      </c>
      <c r="P145" s="79" t="e">
        <f t="shared" si="82"/>
        <v>#REF!</v>
      </c>
      <c r="Q145" s="79" t="e">
        <f t="shared" si="82"/>
        <v>#REF!</v>
      </c>
      <c r="R145" s="79" t="e">
        <f t="shared" si="82"/>
        <v>#REF!</v>
      </c>
      <c r="S145" s="79" t="e">
        <f t="shared" si="82"/>
        <v>#REF!</v>
      </c>
      <c r="T145" s="79" t="e">
        <f t="shared" si="82"/>
        <v>#REF!</v>
      </c>
      <c r="U145" s="79" t="e">
        <f t="shared" si="82"/>
        <v>#REF!</v>
      </c>
      <c r="V145" s="79" t="e">
        <f t="shared" si="82"/>
        <v>#REF!</v>
      </c>
      <c r="W145" s="79" t="e">
        <f t="shared" si="82"/>
        <v>#REF!</v>
      </c>
      <c r="X145" s="79" t="e">
        <f t="shared" si="82"/>
        <v>#REF!</v>
      </c>
      <c r="Y145" s="79" t="e">
        <f t="shared" si="82"/>
        <v>#REF!</v>
      </c>
      <c r="Z145" s="79" t="e">
        <f t="shared" si="82"/>
        <v>#REF!</v>
      </c>
      <c r="AA145" s="79" t="e">
        <f t="shared" si="82"/>
        <v>#REF!</v>
      </c>
      <c r="AB145" s="79" t="e">
        <f t="shared" si="82"/>
        <v>#REF!</v>
      </c>
      <c r="AC145" s="79" t="e">
        <f t="shared" si="82"/>
        <v>#REF!</v>
      </c>
      <c r="AD145" s="79" t="e">
        <f t="shared" si="82"/>
        <v>#REF!</v>
      </c>
    </row>
    <row r="147" spans="10:30" ht="17" thickBot="1" x14ac:dyDescent="0.25">
      <c r="K147" s="53" t="e">
        <f>(LARGE(K142:K143,1))</f>
        <v>#REF!</v>
      </c>
      <c r="L147" s="53" t="e">
        <f t="shared" ref="L147:AD147" si="83">(LARGE(L142:L143,1))</f>
        <v>#REF!</v>
      </c>
      <c r="M147" s="53" t="e">
        <f t="shared" si="83"/>
        <v>#REF!</v>
      </c>
      <c r="N147" s="53" t="e">
        <f t="shared" si="83"/>
        <v>#REF!</v>
      </c>
      <c r="O147" s="53" t="e">
        <f t="shared" si="83"/>
        <v>#REF!</v>
      </c>
      <c r="P147" s="53" t="e">
        <f t="shared" si="83"/>
        <v>#REF!</v>
      </c>
      <c r="Q147" s="53" t="e">
        <f t="shared" si="83"/>
        <v>#REF!</v>
      </c>
      <c r="R147" s="53" t="e">
        <f t="shared" si="83"/>
        <v>#REF!</v>
      </c>
      <c r="S147" s="53" t="e">
        <f t="shared" si="83"/>
        <v>#REF!</v>
      </c>
      <c r="T147" s="53" t="e">
        <f t="shared" si="83"/>
        <v>#REF!</v>
      </c>
      <c r="U147" s="53" t="e">
        <f t="shared" si="83"/>
        <v>#REF!</v>
      </c>
      <c r="V147" s="53" t="e">
        <f t="shared" si="83"/>
        <v>#REF!</v>
      </c>
      <c r="W147" s="53" t="e">
        <f t="shared" si="83"/>
        <v>#REF!</v>
      </c>
      <c r="X147" s="53" t="e">
        <f t="shared" si="83"/>
        <v>#REF!</v>
      </c>
      <c r="Y147" s="53" t="e">
        <f t="shared" si="83"/>
        <v>#REF!</v>
      </c>
      <c r="Z147" s="53" t="e">
        <f t="shared" si="83"/>
        <v>#REF!</v>
      </c>
      <c r="AA147" s="53" t="e">
        <f t="shared" si="83"/>
        <v>#REF!</v>
      </c>
      <c r="AB147" s="53" t="e">
        <f t="shared" si="83"/>
        <v>#REF!</v>
      </c>
      <c r="AC147" s="53" t="e">
        <f t="shared" si="83"/>
        <v>#REF!</v>
      </c>
      <c r="AD147" s="53" t="e">
        <f t="shared" si="83"/>
        <v>#REF!</v>
      </c>
    </row>
    <row r="148" spans="10:30" ht="17" thickBot="1" x14ac:dyDescent="0.25">
      <c r="K148" s="89">
        <f>K132</f>
        <v>66</v>
      </c>
      <c r="L148" s="89">
        <f t="shared" ref="L148:AD148" si="84">L132</f>
        <v>67</v>
      </c>
      <c r="M148" s="89">
        <f t="shared" si="84"/>
        <v>68</v>
      </c>
      <c r="N148" s="89">
        <f t="shared" si="84"/>
        <v>69</v>
      </c>
      <c r="O148" s="89">
        <f t="shared" si="84"/>
        <v>70</v>
      </c>
      <c r="P148" s="89">
        <f t="shared" si="84"/>
        <v>71</v>
      </c>
      <c r="Q148" s="89">
        <f t="shared" si="84"/>
        <v>72</v>
      </c>
      <c r="R148" s="89">
        <f t="shared" si="84"/>
        <v>73</v>
      </c>
      <c r="S148" s="89">
        <f t="shared" si="84"/>
        <v>74</v>
      </c>
      <c r="T148" s="89">
        <f t="shared" si="84"/>
        <v>75</v>
      </c>
      <c r="U148" s="89">
        <f t="shared" si="84"/>
        <v>76</v>
      </c>
      <c r="V148" s="89">
        <f t="shared" si="84"/>
        <v>77</v>
      </c>
      <c r="W148" s="89">
        <f t="shared" si="84"/>
        <v>78</v>
      </c>
      <c r="X148" s="89">
        <f t="shared" si="84"/>
        <v>79</v>
      </c>
      <c r="Y148" s="89">
        <f t="shared" si="84"/>
        <v>80</v>
      </c>
      <c r="Z148" s="89">
        <f t="shared" si="84"/>
        <v>81</v>
      </c>
      <c r="AA148" s="89">
        <f t="shared" si="84"/>
        <v>82</v>
      </c>
      <c r="AB148" s="89">
        <f t="shared" si="84"/>
        <v>83</v>
      </c>
      <c r="AC148" s="89">
        <f t="shared" si="84"/>
        <v>84</v>
      </c>
      <c r="AD148" s="90">
        <f t="shared" si="84"/>
        <v>85</v>
      </c>
    </row>
    <row r="149" spans="10:30" ht="17" thickBot="1" x14ac:dyDescent="0.25">
      <c r="K149" s="91" t="e">
        <f>K122</f>
        <v>#REF!</v>
      </c>
      <c r="L149" s="91" t="e">
        <f t="shared" ref="L149:AD149" si="85">L122</f>
        <v>#REF!</v>
      </c>
      <c r="M149" s="91" t="e">
        <f t="shared" si="85"/>
        <v>#REF!</v>
      </c>
      <c r="N149" s="91" t="e">
        <f t="shared" si="85"/>
        <v>#REF!</v>
      </c>
      <c r="O149" s="91" t="e">
        <f t="shared" si="85"/>
        <v>#REF!</v>
      </c>
      <c r="P149" s="91" t="e">
        <f t="shared" si="85"/>
        <v>#REF!</v>
      </c>
      <c r="Q149" s="91" t="e">
        <f t="shared" si="85"/>
        <v>#REF!</v>
      </c>
      <c r="R149" s="91" t="e">
        <f t="shared" si="85"/>
        <v>#REF!</v>
      </c>
      <c r="S149" s="91" t="e">
        <f t="shared" si="85"/>
        <v>#REF!</v>
      </c>
      <c r="T149" s="91" t="e">
        <f t="shared" si="85"/>
        <v>#REF!</v>
      </c>
      <c r="U149" s="91" t="e">
        <f t="shared" si="85"/>
        <v>#REF!</v>
      </c>
      <c r="V149" s="91" t="e">
        <f t="shared" si="85"/>
        <v>#REF!</v>
      </c>
      <c r="W149" s="91" t="e">
        <f t="shared" si="85"/>
        <v>#REF!</v>
      </c>
      <c r="X149" s="91" t="e">
        <f t="shared" si="85"/>
        <v>#REF!</v>
      </c>
      <c r="Y149" s="91" t="e">
        <f t="shared" si="85"/>
        <v>#REF!</v>
      </c>
      <c r="Z149" s="91" t="e">
        <f t="shared" si="85"/>
        <v>#REF!</v>
      </c>
      <c r="AA149" s="91" t="e">
        <f t="shared" si="85"/>
        <v>#REF!</v>
      </c>
      <c r="AB149" s="91" t="e">
        <f t="shared" si="85"/>
        <v>#REF!</v>
      </c>
      <c r="AC149" s="91" t="e">
        <f t="shared" si="85"/>
        <v>#REF!</v>
      </c>
      <c r="AD149" s="91" t="e">
        <f t="shared" si="85"/>
        <v>#REF!</v>
      </c>
    </row>
    <row r="150" spans="10:30" s="4" customFormat="1" x14ac:dyDescent="0.2">
      <c r="J150" s="74" t="s">
        <v>122</v>
      </c>
      <c r="K150" s="75" t="e">
        <f t="shared" ref="K150:AD150" si="86">IF(K147&gt;0,K147,0)</f>
        <v>#REF!</v>
      </c>
      <c r="L150" s="76" t="e">
        <f t="shared" si="86"/>
        <v>#REF!</v>
      </c>
      <c r="M150" s="76" t="e">
        <f t="shared" si="86"/>
        <v>#REF!</v>
      </c>
      <c r="N150" s="76" t="e">
        <f t="shared" si="86"/>
        <v>#REF!</v>
      </c>
      <c r="O150" s="76" t="e">
        <f t="shared" si="86"/>
        <v>#REF!</v>
      </c>
      <c r="P150" s="76" t="e">
        <f t="shared" si="86"/>
        <v>#REF!</v>
      </c>
      <c r="Q150" s="76" t="e">
        <f t="shared" si="86"/>
        <v>#REF!</v>
      </c>
      <c r="R150" s="76" t="e">
        <f t="shared" si="86"/>
        <v>#REF!</v>
      </c>
      <c r="S150" s="76" t="e">
        <f t="shared" si="86"/>
        <v>#REF!</v>
      </c>
      <c r="T150" s="76" t="e">
        <f t="shared" si="86"/>
        <v>#REF!</v>
      </c>
      <c r="U150" s="76" t="e">
        <f t="shared" si="86"/>
        <v>#REF!</v>
      </c>
      <c r="V150" s="76" t="e">
        <f t="shared" si="86"/>
        <v>#REF!</v>
      </c>
      <c r="W150" s="76" t="e">
        <f t="shared" si="86"/>
        <v>#REF!</v>
      </c>
      <c r="X150" s="76" t="e">
        <f t="shared" si="86"/>
        <v>#REF!</v>
      </c>
      <c r="Y150" s="76" t="e">
        <f t="shared" si="86"/>
        <v>#REF!</v>
      </c>
      <c r="Z150" s="76" t="e">
        <f t="shared" si="86"/>
        <v>#REF!</v>
      </c>
      <c r="AA150" s="76" t="e">
        <f t="shared" si="86"/>
        <v>#REF!</v>
      </c>
      <c r="AB150" s="76" t="e">
        <f t="shared" si="86"/>
        <v>#REF!</v>
      </c>
      <c r="AC150" s="76" t="e">
        <f t="shared" si="86"/>
        <v>#REF!</v>
      </c>
      <c r="AD150" s="77" t="e">
        <f t="shared" si="86"/>
        <v>#REF!</v>
      </c>
    </row>
    <row r="151" spans="10:30" s="4" customFormat="1" x14ac:dyDescent="0.2">
      <c r="J151" s="78" t="s">
        <v>123</v>
      </c>
      <c r="K151" s="75" t="e">
        <f>K125</f>
        <v>#REF!</v>
      </c>
      <c r="L151" s="75" t="e">
        <f>IF(L139=L138,L139,0)</f>
        <v>#REF!</v>
      </c>
      <c r="M151" s="75" t="e">
        <f t="shared" ref="M151:AD151" si="87">IF(M139=M138,M139,0)</f>
        <v>#REF!</v>
      </c>
      <c r="N151" s="75" t="e">
        <f t="shared" si="87"/>
        <v>#REF!</v>
      </c>
      <c r="O151" s="75" t="e">
        <f t="shared" si="87"/>
        <v>#REF!</v>
      </c>
      <c r="P151" s="75" t="e">
        <f t="shared" si="87"/>
        <v>#REF!</v>
      </c>
      <c r="Q151" s="75" t="e">
        <f t="shared" si="87"/>
        <v>#REF!</v>
      </c>
      <c r="R151" s="75" t="e">
        <f t="shared" si="87"/>
        <v>#REF!</v>
      </c>
      <c r="S151" s="75" t="e">
        <f t="shared" si="87"/>
        <v>#REF!</v>
      </c>
      <c r="T151" s="75" t="e">
        <f t="shared" si="87"/>
        <v>#REF!</v>
      </c>
      <c r="U151" s="75" t="e">
        <f t="shared" si="87"/>
        <v>#REF!</v>
      </c>
      <c r="V151" s="75" t="e">
        <f t="shared" si="87"/>
        <v>#REF!</v>
      </c>
      <c r="W151" s="75" t="e">
        <f t="shared" si="87"/>
        <v>#REF!</v>
      </c>
      <c r="X151" s="75" t="e">
        <f t="shared" si="87"/>
        <v>#REF!</v>
      </c>
      <c r="Y151" s="75" t="e">
        <f t="shared" si="87"/>
        <v>#REF!</v>
      </c>
      <c r="Z151" s="75" t="e">
        <f t="shared" si="87"/>
        <v>#REF!</v>
      </c>
      <c r="AA151" s="75" t="e">
        <f t="shared" si="87"/>
        <v>#REF!</v>
      </c>
      <c r="AB151" s="75" t="e">
        <f t="shared" si="87"/>
        <v>#REF!</v>
      </c>
      <c r="AC151" s="75" t="e">
        <f t="shared" si="87"/>
        <v>#REF!</v>
      </c>
      <c r="AD151" s="75" t="e">
        <f t="shared" si="87"/>
        <v>#REF!</v>
      </c>
    </row>
    <row r="152" spans="10:30" x14ac:dyDescent="0.2">
      <c r="J152" s="92" t="s">
        <v>124</v>
      </c>
      <c r="K152" s="91" t="e">
        <f>K133</f>
        <v>#REF!</v>
      </c>
      <c r="L152" s="79" t="e">
        <f t="shared" ref="L152:AD152" si="88">L133</f>
        <v>#REF!</v>
      </c>
      <c r="M152" s="79" t="e">
        <f t="shared" si="88"/>
        <v>#REF!</v>
      </c>
      <c r="N152" s="79" t="e">
        <f t="shared" si="88"/>
        <v>#REF!</v>
      </c>
      <c r="O152" s="79" t="e">
        <f t="shared" si="88"/>
        <v>#REF!</v>
      </c>
      <c r="P152" s="79" t="e">
        <f t="shared" si="88"/>
        <v>#REF!</v>
      </c>
      <c r="Q152" s="79" t="e">
        <f t="shared" si="88"/>
        <v>#REF!</v>
      </c>
      <c r="R152" s="79" t="e">
        <f t="shared" si="88"/>
        <v>#REF!</v>
      </c>
      <c r="S152" s="79" t="e">
        <f t="shared" si="88"/>
        <v>#REF!</v>
      </c>
      <c r="T152" s="79" t="e">
        <f t="shared" si="88"/>
        <v>#REF!</v>
      </c>
      <c r="U152" s="79" t="e">
        <f t="shared" si="88"/>
        <v>#REF!</v>
      </c>
      <c r="V152" s="79" t="e">
        <f t="shared" si="88"/>
        <v>#REF!</v>
      </c>
      <c r="W152" s="79" t="e">
        <f t="shared" si="88"/>
        <v>#REF!</v>
      </c>
      <c r="X152" s="79" t="e">
        <f t="shared" si="88"/>
        <v>#REF!</v>
      </c>
      <c r="Y152" s="79" t="e">
        <f t="shared" si="88"/>
        <v>#REF!</v>
      </c>
      <c r="Z152" s="79" t="e">
        <f t="shared" si="88"/>
        <v>#REF!</v>
      </c>
      <c r="AA152" s="79" t="e">
        <f t="shared" si="88"/>
        <v>#REF!</v>
      </c>
      <c r="AB152" s="79" t="e">
        <f t="shared" si="88"/>
        <v>#REF!</v>
      </c>
      <c r="AC152" s="79" t="e">
        <f t="shared" si="88"/>
        <v>#REF!</v>
      </c>
      <c r="AD152" s="93" t="e">
        <f t="shared" si="88"/>
        <v>#REF!</v>
      </c>
    </row>
    <row r="153" spans="10:30" ht="17" thickBot="1" x14ac:dyDescent="0.25">
      <c r="J153" s="94" t="s">
        <v>64</v>
      </c>
      <c r="K153" s="95" t="e">
        <f>IF(K150&gt;0,(K117*12),0)</f>
        <v>#REF!</v>
      </c>
      <c r="L153" s="95" t="e">
        <f t="shared" ref="L153:AD153" si="89">IF(L150&gt;0,(L117*12),0)</f>
        <v>#REF!</v>
      </c>
      <c r="M153" s="95" t="e">
        <f t="shared" si="89"/>
        <v>#REF!</v>
      </c>
      <c r="N153" s="95" t="e">
        <f t="shared" si="89"/>
        <v>#REF!</v>
      </c>
      <c r="O153" s="95" t="e">
        <f t="shared" si="89"/>
        <v>#REF!</v>
      </c>
      <c r="P153" s="95" t="e">
        <f t="shared" si="89"/>
        <v>#REF!</v>
      </c>
      <c r="Q153" s="95" t="e">
        <f t="shared" si="89"/>
        <v>#REF!</v>
      </c>
      <c r="R153" s="95" t="e">
        <f t="shared" si="89"/>
        <v>#REF!</v>
      </c>
      <c r="S153" s="95" t="e">
        <f t="shared" si="89"/>
        <v>#REF!</v>
      </c>
      <c r="T153" s="95" t="e">
        <f t="shared" si="89"/>
        <v>#REF!</v>
      </c>
      <c r="U153" s="95" t="e">
        <f t="shared" si="89"/>
        <v>#REF!</v>
      </c>
      <c r="V153" s="95" t="e">
        <f t="shared" si="89"/>
        <v>#REF!</v>
      </c>
      <c r="W153" s="95" t="e">
        <f t="shared" si="89"/>
        <v>#REF!</v>
      </c>
      <c r="X153" s="95" t="e">
        <f t="shared" si="89"/>
        <v>#REF!</v>
      </c>
      <c r="Y153" s="95" t="e">
        <f t="shared" si="89"/>
        <v>#REF!</v>
      </c>
      <c r="Z153" s="95" t="e">
        <f t="shared" si="89"/>
        <v>#REF!</v>
      </c>
      <c r="AA153" s="95" t="e">
        <f t="shared" si="89"/>
        <v>#REF!</v>
      </c>
      <c r="AB153" s="95" t="e">
        <f t="shared" si="89"/>
        <v>#REF!</v>
      </c>
      <c r="AC153" s="95" t="e">
        <f t="shared" si="89"/>
        <v>#REF!</v>
      </c>
      <c r="AD153" s="95" t="e">
        <f t="shared" si="89"/>
        <v>#REF!</v>
      </c>
    </row>
    <row r="192" spans="11:30" x14ac:dyDescent="0.2">
      <c r="K192" s="53">
        <v>66</v>
      </c>
      <c r="L192" s="53">
        <v>67</v>
      </c>
      <c r="M192" s="53">
        <v>68</v>
      </c>
      <c r="N192" s="53">
        <v>69</v>
      </c>
      <c r="O192" s="53">
        <v>70</v>
      </c>
      <c r="P192" s="53">
        <v>71</v>
      </c>
      <c r="Q192" s="53">
        <v>72</v>
      </c>
      <c r="R192" s="53">
        <v>73</v>
      </c>
      <c r="S192" s="53">
        <v>74</v>
      </c>
      <c r="T192" s="53">
        <v>75</v>
      </c>
      <c r="U192" s="53">
        <v>76</v>
      </c>
      <c r="V192" s="53">
        <v>77</v>
      </c>
      <c r="W192" s="53">
        <v>78</v>
      </c>
      <c r="X192" s="53">
        <v>79</v>
      </c>
      <c r="Y192" s="53">
        <v>80</v>
      </c>
      <c r="Z192" s="53">
        <v>81</v>
      </c>
      <c r="AA192" s="53">
        <v>82</v>
      </c>
      <c r="AB192" s="53">
        <v>83</v>
      </c>
      <c r="AC192" s="53">
        <v>84</v>
      </c>
      <c r="AD192" s="53">
        <v>85</v>
      </c>
    </row>
    <row r="193" spans="10:30" x14ac:dyDescent="0.2">
      <c r="J193" s="53" t="s">
        <v>64</v>
      </c>
      <c r="K193" s="79" t="e">
        <f>K153</f>
        <v>#REF!</v>
      </c>
      <c r="L193" s="79" t="e">
        <f t="shared" ref="L193:AD193" si="90">L153</f>
        <v>#REF!</v>
      </c>
      <c r="M193" s="79" t="e">
        <f t="shared" si="90"/>
        <v>#REF!</v>
      </c>
      <c r="N193" s="79" t="e">
        <f t="shared" si="90"/>
        <v>#REF!</v>
      </c>
      <c r="O193" s="79" t="e">
        <f t="shared" si="90"/>
        <v>#REF!</v>
      </c>
      <c r="P193" s="79" t="e">
        <f t="shared" si="90"/>
        <v>#REF!</v>
      </c>
      <c r="Q193" s="79" t="e">
        <f t="shared" si="90"/>
        <v>#REF!</v>
      </c>
      <c r="R193" s="79" t="e">
        <f t="shared" si="90"/>
        <v>#REF!</v>
      </c>
      <c r="S193" s="79" t="e">
        <f t="shared" si="90"/>
        <v>#REF!</v>
      </c>
      <c r="T193" s="79" t="e">
        <f t="shared" si="90"/>
        <v>#REF!</v>
      </c>
      <c r="U193" s="79" t="e">
        <f t="shared" si="90"/>
        <v>#REF!</v>
      </c>
      <c r="V193" s="79" t="e">
        <f t="shared" si="90"/>
        <v>#REF!</v>
      </c>
      <c r="W193" s="79" t="e">
        <f t="shared" si="90"/>
        <v>#REF!</v>
      </c>
      <c r="X193" s="79" t="e">
        <f t="shared" si="90"/>
        <v>#REF!</v>
      </c>
      <c r="Y193" s="79" t="e">
        <f t="shared" si="90"/>
        <v>#REF!</v>
      </c>
      <c r="Z193" s="79" t="e">
        <f t="shared" si="90"/>
        <v>#REF!</v>
      </c>
      <c r="AA193" s="79" t="e">
        <f t="shared" si="90"/>
        <v>#REF!</v>
      </c>
      <c r="AB193" s="79" t="e">
        <f t="shared" si="90"/>
        <v>#REF!</v>
      </c>
      <c r="AC193" s="79" t="e">
        <f t="shared" si="90"/>
        <v>#REF!</v>
      </c>
      <c r="AD193" s="79" t="e">
        <f t="shared" si="90"/>
        <v>#REF!</v>
      </c>
    </row>
    <row r="194" spans="10:30" x14ac:dyDescent="0.2">
      <c r="J194" s="96" t="s">
        <v>125</v>
      </c>
      <c r="K194" s="57" t="e">
        <f>IF(K199&gt;500000,K199-500000,0)</f>
        <v>#REF!</v>
      </c>
      <c r="L194" s="57">
        <v>0</v>
      </c>
      <c r="M194" s="57">
        <v>0</v>
      </c>
      <c r="N194" s="57">
        <v>0</v>
      </c>
      <c r="O194" s="57">
        <v>0</v>
      </c>
      <c r="P194" s="57">
        <v>0</v>
      </c>
      <c r="Q194" s="57">
        <v>0</v>
      </c>
      <c r="R194" s="57">
        <v>0</v>
      </c>
      <c r="S194" s="57">
        <v>0</v>
      </c>
      <c r="T194" s="57">
        <v>0</v>
      </c>
      <c r="U194" s="57">
        <v>0</v>
      </c>
      <c r="V194" s="57">
        <v>0</v>
      </c>
      <c r="W194" s="57">
        <v>0</v>
      </c>
      <c r="X194" s="57">
        <v>0</v>
      </c>
      <c r="Y194" s="57">
        <v>0</v>
      </c>
      <c r="Z194" s="57">
        <v>0</v>
      </c>
      <c r="AA194" s="57">
        <v>0</v>
      </c>
      <c r="AB194" s="57">
        <v>0</v>
      </c>
      <c r="AC194" s="57">
        <v>0</v>
      </c>
      <c r="AD194" s="57">
        <v>0</v>
      </c>
    </row>
    <row r="195" spans="10:30" x14ac:dyDescent="0.2">
      <c r="J195" s="53" t="s">
        <v>126</v>
      </c>
      <c r="K195" s="79" t="e">
        <f>IF(K199&gt;500000,500000,K199)</f>
        <v>#REF!</v>
      </c>
    </row>
    <row r="196" spans="10:30" x14ac:dyDescent="0.2">
      <c r="J196" s="53" t="s">
        <v>125</v>
      </c>
      <c r="K196" s="57" t="e">
        <f>K194</f>
        <v>#REF!</v>
      </c>
    </row>
    <row r="197" spans="10:30" x14ac:dyDescent="0.2">
      <c r="J197" s="53" t="s">
        <v>64</v>
      </c>
      <c r="K197" s="79" t="e">
        <f>K193</f>
        <v>#REF!</v>
      </c>
      <c r="L197" s="79" t="e">
        <f t="shared" ref="L197:AD197" si="91">L193</f>
        <v>#REF!</v>
      </c>
      <c r="M197" s="79" t="e">
        <f t="shared" si="91"/>
        <v>#REF!</v>
      </c>
      <c r="N197" s="79" t="e">
        <f t="shared" si="91"/>
        <v>#REF!</v>
      </c>
      <c r="O197" s="79" t="e">
        <f t="shared" si="91"/>
        <v>#REF!</v>
      </c>
      <c r="P197" s="79" t="e">
        <f t="shared" si="91"/>
        <v>#REF!</v>
      </c>
      <c r="Q197" s="79" t="e">
        <f t="shared" si="91"/>
        <v>#REF!</v>
      </c>
      <c r="R197" s="79" t="e">
        <f t="shared" si="91"/>
        <v>#REF!</v>
      </c>
      <c r="S197" s="79" t="e">
        <f t="shared" si="91"/>
        <v>#REF!</v>
      </c>
      <c r="T197" s="79" t="e">
        <f t="shared" si="91"/>
        <v>#REF!</v>
      </c>
      <c r="U197" s="79" t="e">
        <f t="shared" si="91"/>
        <v>#REF!</v>
      </c>
      <c r="V197" s="79" t="e">
        <f t="shared" si="91"/>
        <v>#REF!</v>
      </c>
      <c r="W197" s="79" t="e">
        <f t="shared" si="91"/>
        <v>#REF!</v>
      </c>
      <c r="X197" s="79" t="e">
        <f t="shared" si="91"/>
        <v>#REF!</v>
      </c>
      <c r="Y197" s="79" t="e">
        <f t="shared" si="91"/>
        <v>#REF!</v>
      </c>
      <c r="Z197" s="79" t="e">
        <f t="shared" si="91"/>
        <v>#REF!</v>
      </c>
      <c r="AA197" s="79" t="e">
        <f t="shared" si="91"/>
        <v>#REF!</v>
      </c>
      <c r="AB197" s="79" t="e">
        <f t="shared" si="91"/>
        <v>#REF!</v>
      </c>
      <c r="AC197" s="79" t="e">
        <f t="shared" si="91"/>
        <v>#REF!</v>
      </c>
      <c r="AD197" s="79" t="e">
        <f t="shared" si="91"/>
        <v>#REF!</v>
      </c>
    </row>
    <row r="199" spans="10:30" x14ac:dyDescent="0.2">
      <c r="K199" s="57" t="e">
        <f>K151</f>
        <v>#REF!</v>
      </c>
    </row>
  </sheetData>
  <sheetProtection algorithmName="SHA-512" hashValue="ejCM0uWinHxA7D7HDGMtqwK1MhwKI2XtcRDVn/6+uZqb500aeGB2FQozMh6a8Rsd3JTdzt6gswCQ+M7qT/ggQA==" saltValue="SIHKaTYMaqVWG04PXPDFQQ==" spinCount="100000" sheet="1" objects="1" scenarios="1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Estate &amp; Risk Plan</vt:lpstr>
      <vt:lpstr>Data9</vt:lpstr>
      <vt:lpstr>Data8</vt:lpstr>
      <vt:lpstr>Data7</vt:lpstr>
      <vt:lpstr>Data6</vt:lpstr>
      <vt:lpstr>Data5</vt:lpstr>
      <vt:lpstr>Data4</vt:lpstr>
      <vt:lpstr>Data3</vt:lpstr>
      <vt:lpstr>Data2</vt:lpstr>
      <vt:lpstr>Data</vt:lpstr>
      <vt:lpstr>Data7!Print_Area</vt:lpstr>
      <vt:lpstr>'Estate &amp; Risk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Pike</dc:creator>
  <cp:lastModifiedBy>Gerald Pike</cp:lastModifiedBy>
  <cp:lastPrinted>2025-08-07T13:32:05Z</cp:lastPrinted>
  <dcterms:created xsi:type="dcterms:W3CDTF">2019-03-31T12:06:17Z</dcterms:created>
  <dcterms:modified xsi:type="dcterms:W3CDTF">2025-12-29T17:48:37Z</dcterms:modified>
</cp:coreProperties>
</file>